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100" tabRatio="601" firstSheet="4" activeTab="4"/>
  </bookViews>
  <sheets>
    <sheet name="Всего" sheetId="1" r:id="rId1"/>
    <sheet name="2008г. Подрядчики" sheetId="2" r:id="rId2"/>
    <sheet name="2008г. хозспособ" sheetId="3" r:id="rId3"/>
    <sheet name="2007г." sheetId="4" r:id="rId4"/>
    <sheet name="Адресная программа 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<sst xmlns="http://schemas.openxmlformats.org/spreadsheetml/2006/main" count="2142" uniqueCount="518">
  <si>
    <t>Наименование работ</t>
  </si>
  <si>
    <t>т.руб.</t>
  </si>
  <si>
    <t>т.кв.м</t>
  </si>
  <si>
    <t>л/кл</t>
  </si>
  <si>
    <t>шт.</t>
  </si>
  <si>
    <t>Начальник ППО</t>
  </si>
  <si>
    <t>Т.В.Федорова</t>
  </si>
  <si>
    <t>Кубинская д.58</t>
  </si>
  <si>
    <t>Новоизмайловский 71  пар.2</t>
  </si>
  <si>
    <t>Ленинский пр.д.166 кв.17,18,19,20,38,39,40,58,60,79,80</t>
  </si>
  <si>
    <t>Ленинский 178/3</t>
  </si>
  <si>
    <t>Московский 191-4пар</t>
  </si>
  <si>
    <t>Московский 173-2,4пар.</t>
  </si>
  <si>
    <t>Ленинский 178   5пар.</t>
  </si>
  <si>
    <t>Новоизмайловский 13</t>
  </si>
  <si>
    <t>вентканалы, парапеты, окрытие</t>
  </si>
  <si>
    <t>Новоизмайловский д.17</t>
  </si>
  <si>
    <t>Новоизмайловский 19</t>
  </si>
  <si>
    <t>Новоизмайловский 21</t>
  </si>
  <si>
    <t>Краснопутиловская д.82</t>
  </si>
  <si>
    <t>вентканалы, флюгарки</t>
  </si>
  <si>
    <t>Бассейная   13</t>
  </si>
  <si>
    <t>Кубинская д.64-1,2пар.</t>
  </si>
  <si>
    <t>Ленинский 178/2</t>
  </si>
  <si>
    <t>смена вентканалов</t>
  </si>
  <si>
    <t>Московский 171-6,7,10пар.</t>
  </si>
  <si>
    <t>Московский 173-5пар.</t>
  </si>
  <si>
    <t>Фрунзе д.6а-2,3пар.</t>
  </si>
  <si>
    <t>Победы д.7-1пар.</t>
  </si>
  <si>
    <t>Варшавская д.63    10пар</t>
  </si>
  <si>
    <t>Московский 179-3пар.</t>
  </si>
  <si>
    <t>Новоизмайловский пр. д.55-1,2пар</t>
  </si>
  <si>
    <t>Новоизмайловский 20/1</t>
  </si>
  <si>
    <t>Новоизмайловский 32/3</t>
  </si>
  <si>
    <t>Новоизмайловский 32/4</t>
  </si>
  <si>
    <t>Варшавская д.41/1</t>
  </si>
  <si>
    <t>Варшавская д.41/2</t>
  </si>
  <si>
    <t>Новоизмайловский 26/4</t>
  </si>
  <si>
    <t>Новоизмайловский 38/3</t>
  </si>
  <si>
    <t>Новоизмайловский 32/2</t>
  </si>
  <si>
    <t>Московский 175  кв.64,65</t>
  </si>
  <si>
    <t>Московский 171  кв.69</t>
  </si>
  <si>
    <t>Московский 165-3,7,6,5,8пар.</t>
  </si>
  <si>
    <t>Московский 191-3пар.</t>
  </si>
  <si>
    <t>Победы д.9-1,2,3пар.</t>
  </si>
  <si>
    <t>Новоизмайловский 20/2</t>
  </si>
  <si>
    <t>Новоизмайловский 27</t>
  </si>
  <si>
    <t>Новоизмайловский 31</t>
  </si>
  <si>
    <t>Новоизмайловский 20/3</t>
  </si>
  <si>
    <t>Бассейная 11</t>
  </si>
  <si>
    <t>Бассейная 15</t>
  </si>
  <si>
    <t>Новоизмайловский 20/4</t>
  </si>
  <si>
    <t>Новоизмайловский 26/2</t>
  </si>
  <si>
    <t>Варшавская 41/3</t>
  </si>
  <si>
    <t>Бассейная 3</t>
  </si>
  <si>
    <t>Кубинская  д.20</t>
  </si>
  <si>
    <t>Кубинская  д.24</t>
  </si>
  <si>
    <t>Кубинская д.58  1пар.</t>
  </si>
  <si>
    <t>Краснопутиловская д.75 -4,5пар</t>
  </si>
  <si>
    <t>Московский 171  кв.32</t>
  </si>
  <si>
    <t>Московский 165-2пар.</t>
  </si>
  <si>
    <t>Кузнецовская д.13-1,2,3,4пар</t>
  </si>
  <si>
    <t>Чернышевского д.9-7пар</t>
  </si>
  <si>
    <t>Кубинская  д.38</t>
  </si>
  <si>
    <t>мягкая кровля</t>
  </si>
  <si>
    <t>Кубинская  д.30</t>
  </si>
  <si>
    <t>Кубинская  д.22</t>
  </si>
  <si>
    <t>Бассейная д.5</t>
  </si>
  <si>
    <t>Новоизмайловский пр.д.55-3пар.</t>
  </si>
  <si>
    <t>Новоизмайловский пр.д.35-3,4,5пар.</t>
  </si>
  <si>
    <t>Ленинский пр. д.147  4пар</t>
  </si>
  <si>
    <t>Чернышевского пл.  Д.8- 1,4пар.</t>
  </si>
  <si>
    <t>Бассейная ул д.11   кв.58,97,80,57,40,39</t>
  </si>
  <si>
    <t>Новоизмайловский пр.д.26/4-17,20,40,1пар.</t>
  </si>
  <si>
    <t>Новоизмайловский пр.д.26/3-60кв.</t>
  </si>
  <si>
    <t>Новоизмайловский пр.д.27  -17,58,77</t>
  </si>
  <si>
    <t>Варшавская ул. д.39/1-2пар.</t>
  </si>
  <si>
    <t>Чернышевского пл.  Д.8- 2пар.</t>
  </si>
  <si>
    <t>Бассейная ул. д.29--3пар.</t>
  </si>
  <si>
    <t>Бассейная ул. д.33-2пар.</t>
  </si>
  <si>
    <t>Новоизмайловский пр.  Д.32/3 -1пар.</t>
  </si>
  <si>
    <t>ООО "ЖКС № 3 Московского района"</t>
  </si>
  <si>
    <t>Новоизмайловский пр.д.32/3</t>
  </si>
  <si>
    <t>Новоизмайловский пр.д.27-18кв.</t>
  </si>
  <si>
    <t>Новоизмайловский пр.д.26/1  -57,77,5пар,козырек 5пар.</t>
  </si>
  <si>
    <t>Бассейная ул д.3  -кв.19,60</t>
  </si>
  <si>
    <t>Бассейная ул д.13  -кв.57,58,39,37,38,2,3пар.</t>
  </si>
  <si>
    <t>Пулковское шоссе д.9/1</t>
  </si>
  <si>
    <t>Краснопутиловская  д.54</t>
  </si>
  <si>
    <t>ул.Фрунзе д.6-3,5пар</t>
  </si>
  <si>
    <t>Варшавская ул. д.37/2-  1,3пар.</t>
  </si>
  <si>
    <t>Варшавская ул. д.37/1  - 4,8,10,14пар.</t>
  </si>
  <si>
    <t>Пулковское ш. д.9/1-1пар</t>
  </si>
  <si>
    <t>ул.Фрунзе д.4  -3пар</t>
  </si>
  <si>
    <t>Новоизмайловский пр.  Д.40</t>
  </si>
  <si>
    <t>ул.Фрунзе д.6б-1,3пар</t>
  </si>
  <si>
    <t>Бассейная ул. д.15  -1,3пар</t>
  </si>
  <si>
    <t>Варшавская ул. д.54  -2пар.</t>
  </si>
  <si>
    <t>Бассейная ул. д.15  -4пар</t>
  </si>
  <si>
    <t>Бассейная ул. д.33  -1,3пар</t>
  </si>
  <si>
    <t>Бассейная ул. д.3  -1,2,3,5пар</t>
  </si>
  <si>
    <t>Пулковское ш. д.13/1-1пар</t>
  </si>
  <si>
    <t>Пулковское ш. д.9/1-2пар</t>
  </si>
  <si>
    <t>Ленинский д.162/3 -4пар</t>
  </si>
  <si>
    <t>Варшавская ул. д.63 -3пар.</t>
  </si>
  <si>
    <t>Краснопутиловская  д.75</t>
  </si>
  <si>
    <t>Варшавская  ул. д.55</t>
  </si>
  <si>
    <t>Варшавская  ул. д.49</t>
  </si>
  <si>
    <t>Новоизмайловский пр.д.49</t>
  </si>
  <si>
    <t>Кубинская  д.60</t>
  </si>
  <si>
    <t>Краснопутиловская  д.79</t>
  </si>
  <si>
    <t>Адрес</t>
  </si>
  <si>
    <t>Московский 175</t>
  </si>
  <si>
    <t>Кровля жесткая</t>
  </si>
  <si>
    <t>Кровля мягкая</t>
  </si>
  <si>
    <t>ООО "РАЗВИТИЕ"</t>
  </si>
  <si>
    <t>Кубинская  д.50</t>
  </si>
  <si>
    <t>Пулковское ш. 9/1</t>
  </si>
  <si>
    <t>вентканалы-13шт.</t>
  </si>
  <si>
    <t>Московский пр.д.179</t>
  </si>
  <si>
    <t>Новоизмайловский пр.д.20/2</t>
  </si>
  <si>
    <t>Ленинский д.172</t>
  </si>
  <si>
    <t>Краснопутиловская  д.80</t>
  </si>
  <si>
    <t>Бассейная д.37  -4пар.</t>
  </si>
  <si>
    <t>Бассейная д.37  -3пар.</t>
  </si>
  <si>
    <t xml:space="preserve">квартирные коридоры </t>
  </si>
  <si>
    <t>после перегородок</t>
  </si>
  <si>
    <t>Бассейная 25</t>
  </si>
  <si>
    <t>Ленинский д.162/2</t>
  </si>
  <si>
    <t>Кузнецовская д.15-2,3,4,6пар</t>
  </si>
  <si>
    <t>Московский 179  -55</t>
  </si>
  <si>
    <t xml:space="preserve">Ленинский 166- </t>
  </si>
  <si>
    <t>ремонт  и смена водосточных труб</t>
  </si>
  <si>
    <t>Фрунзе д.5, Победы 13,Московский д.159,157,157а, 175</t>
  </si>
  <si>
    <t>штукатурка фасада</t>
  </si>
  <si>
    <t>Кубинская д.24 кв.97</t>
  </si>
  <si>
    <t>Новоизм.д.20/4, д.20/2, 55</t>
  </si>
  <si>
    <t>шт</t>
  </si>
  <si>
    <t>ООО "Ремстрой"</t>
  </si>
  <si>
    <t>Кузнецовская д.15-1пар</t>
  </si>
  <si>
    <t>Новоизмайловский пр.д.101-1пар.</t>
  </si>
  <si>
    <t>Новоизмайловский пр.д.101-3пар.</t>
  </si>
  <si>
    <t>Бассейная д.3, Новоизм.д71,д.75</t>
  </si>
  <si>
    <t>ООО "ИНЖИНИРИНГСТРОЙ"</t>
  </si>
  <si>
    <t>Новоизм. Д.32/3, д.20/4, д.20/2, 27,39/1,45</t>
  </si>
  <si>
    <t>герметиз.  наружных панельных швов</t>
  </si>
  <si>
    <t>Кубинская д.20-3,4пар.</t>
  </si>
  <si>
    <t>Кузнецовская   д.15-8пар</t>
  </si>
  <si>
    <t>Варшавская ул. д.63/1-4пар.</t>
  </si>
  <si>
    <t>Новоизмайловский пр. д.32/3 -3пар.</t>
  </si>
  <si>
    <t>Фрунзе д.5 -4пар.</t>
  </si>
  <si>
    <t>Пулковское ш. д.9/1-5пар</t>
  </si>
  <si>
    <t>Московский д.195  5пар</t>
  </si>
  <si>
    <t>Варшавская ул. д.48-2пар.</t>
  </si>
  <si>
    <t>Кубинская д.20-2пар.</t>
  </si>
  <si>
    <t>Варшавская ул. д.35  -1,2,4пар.</t>
  </si>
  <si>
    <t>Новоизмайловский пр. д.32/3 -2,4пар.</t>
  </si>
  <si>
    <t>Предпортовый д.8/4-2пар</t>
  </si>
  <si>
    <t>Варшавская ул. д.114-1,2,4пар.</t>
  </si>
  <si>
    <t>Чернышевского д.9-9пар</t>
  </si>
  <si>
    <t>Варшавская ул. д.63-1пар.</t>
  </si>
  <si>
    <t>Новоизмайловский пр. д.101-4пар</t>
  </si>
  <si>
    <t>Московский д.175  4пар</t>
  </si>
  <si>
    <t>Варшавская ул. д.49-4пар.</t>
  </si>
  <si>
    <t>Ленинский пр. д.147  1пар.</t>
  </si>
  <si>
    <t>Новоизм. Д.38/3, д.73</t>
  </si>
  <si>
    <t>Московский д.189, Бассейная д.27,23, Фрунзе д.6, Моск.д.161,163,165, Ленин.д.161</t>
  </si>
  <si>
    <t>Московский д.161</t>
  </si>
  <si>
    <t>замена линолеума в парадных</t>
  </si>
  <si>
    <t>Пулковское д.9/1 -5пар</t>
  </si>
  <si>
    <t>Новоизмайловский д.40</t>
  </si>
  <si>
    <t>Новоизм.д63, д.39, д.37</t>
  </si>
  <si>
    <t xml:space="preserve">металлические двери </t>
  </si>
  <si>
    <t>металлические двери</t>
  </si>
  <si>
    <t>Московский д.197, Красноп.71, Варш д.63</t>
  </si>
  <si>
    <t>выпуск канализации</t>
  </si>
  <si>
    <t>Варшавская д.31</t>
  </si>
  <si>
    <t>ООО "СТРОЙРЕКОНСТРУКЦИЯ"</t>
  </si>
  <si>
    <t>Пулковское ш. д.13/1</t>
  </si>
  <si>
    <t>Новоизм. Д.53,д.73, Красноп.д.64,79,85</t>
  </si>
  <si>
    <t>Новоизмайловский д.15</t>
  </si>
  <si>
    <t>Новозмайловский д.22</t>
  </si>
  <si>
    <t>Новоизмайловский пр.,д.38 к.4, Фрунзе ул.,д.6, Московский пр.,д.167,175</t>
  </si>
  <si>
    <t>перенавеска водосточных труб</t>
  </si>
  <si>
    <t>Новоизмайловский пр.,д.45, Краснопутиловская ул.,д.54, Московский пр.,д.193 э/у, Ленинский пр.,д.161 э/у</t>
  </si>
  <si>
    <t>Пулковское ш.,д.9/1, Бассейная ул.,д.11, Московский пр.,д.195 э/у</t>
  </si>
  <si>
    <t>5й Предпортовый проезд,д.8/4</t>
  </si>
  <si>
    <t>Новоизмайловский пр.,д.27 кв.17,58,77,козырек 1,3пар.</t>
  </si>
  <si>
    <t>Новоизмайловский пр.,д.26/3 кв.60</t>
  </si>
  <si>
    <t>Бассейная ул.д.11, кв.39,40,57,58,80,97,</t>
  </si>
  <si>
    <t>Новоизмайловский пр.,д.26/4 кв.17,20,40,1 пар.</t>
  </si>
  <si>
    <t>Московский пр.,д193 кв.134; Варшавская ул.,д.35 кв.18, Фрунзе ул.,д.6а кв.160</t>
  </si>
  <si>
    <t>Новоизмайловский пр.  д.22</t>
  </si>
  <si>
    <t>Новоизмайловский пр.  д.46</t>
  </si>
  <si>
    <t>примыкания</t>
  </si>
  <si>
    <t>Московский пр.,д.171, Фрунзе ул.,д.6,кв.48, пар.1,2</t>
  </si>
  <si>
    <t>Варшавская ул. д.37/1  -15пар.</t>
  </si>
  <si>
    <t>Варшавская ул. д.37/1  - 16пар.</t>
  </si>
  <si>
    <t>Московский пр.,д.195,кв.193, Кубинская ул.,д.50, кв.32,36,57</t>
  </si>
  <si>
    <t>Пулковское ш. д.9/1</t>
  </si>
  <si>
    <t>5йПредпортовый проезд,д.8/4</t>
  </si>
  <si>
    <t>Бассейная ул.,д.15/2</t>
  </si>
  <si>
    <t xml:space="preserve">Новоизмайловский пр.,67,81,42/1,53 , Краснопутиловская ул.,д.71, </t>
  </si>
  <si>
    <t>металлические решетки</t>
  </si>
  <si>
    <t>Фрунзе ул.,д.3,кв.3</t>
  </si>
  <si>
    <t>Пулковское д.9/1 -2пар</t>
  </si>
  <si>
    <t>Пулковское д.13/1 -1пар</t>
  </si>
  <si>
    <t xml:space="preserve"> лестничных клеток </t>
  </si>
  <si>
    <t xml:space="preserve">Косметический ремонт </t>
  </si>
  <si>
    <t>сходится</t>
  </si>
  <si>
    <t>Новоизмайловский пр.  д.85, пл. Чернышевского  д.7</t>
  </si>
  <si>
    <t>Московский 191-3пар</t>
  </si>
  <si>
    <t>Варшавская ул. д.29/1</t>
  </si>
  <si>
    <t>Новоизмайловский пр.  д51, д.34/1</t>
  </si>
  <si>
    <t>Варшавская ул. д.29/1-2пар</t>
  </si>
  <si>
    <t>Варшавская 37/1-7пар</t>
  </si>
  <si>
    <t>Варшавская 37/1-14-17пар</t>
  </si>
  <si>
    <t>ООО "АКРОПОЛЬ"</t>
  </si>
  <si>
    <t>парапеты, окрытие</t>
  </si>
  <si>
    <t>кровля</t>
  </si>
  <si>
    <t>герметиз</t>
  </si>
  <si>
    <t>фасад</t>
  </si>
  <si>
    <t>лестницы</t>
  </si>
  <si>
    <t>водосточки</t>
  </si>
  <si>
    <t>двери</t>
  </si>
  <si>
    <t>полы</t>
  </si>
  <si>
    <t>канализ</t>
  </si>
  <si>
    <t>ГРЩ</t>
  </si>
  <si>
    <t>Новоизмайловский д.51-частично</t>
  </si>
  <si>
    <t>РЕМОНТ ГРЩ</t>
  </si>
  <si>
    <t>ЭМ-421</t>
  </si>
  <si>
    <t>Ленинский пр. д.147</t>
  </si>
  <si>
    <t>Ремонт ГРЩ</t>
  </si>
  <si>
    <t>Сумма, руб.коп</t>
  </si>
  <si>
    <t>Краснопутиловская  д.64</t>
  </si>
  <si>
    <t>Кубинская 28-57</t>
  </si>
  <si>
    <t>Кубинская 28-20</t>
  </si>
  <si>
    <t>Бассейная 3-80</t>
  </si>
  <si>
    <t>Кубинская 40-1пар.</t>
  </si>
  <si>
    <t>Кубинская 40-2пар.</t>
  </si>
  <si>
    <t>Кубинская ул. д.52-77</t>
  </si>
  <si>
    <t>Новоизмайловский 73-18</t>
  </si>
  <si>
    <t>Новоизмайловский   15-1пар.</t>
  </si>
  <si>
    <t>Новоизмайловский   63</t>
  </si>
  <si>
    <t>Кубинская ул. д.40</t>
  </si>
  <si>
    <t>Кубинская ул. д.28-4пар.</t>
  </si>
  <si>
    <t>Кубинская ул. д.30-3</t>
  </si>
  <si>
    <t>Краснопутиловская 82-97</t>
  </si>
  <si>
    <t>Новоизмайловский   73-97</t>
  </si>
  <si>
    <t>Новоизм.38/3-100</t>
  </si>
  <si>
    <t>Новоизм.д.26/1-98</t>
  </si>
  <si>
    <t>Варшавская д.39/2-98,99</t>
  </si>
  <si>
    <t>Новоизм.д.32/2-17</t>
  </si>
  <si>
    <t>Варшавская д.39/2-5пар.</t>
  </si>
  <si>
    <t>Бассейная д.23-2пар</t>
  </si>
  <si>
    <t>Новоизм.д.22/2</t>
  </si>
  <si>
    <t>Московский  163</t>
  </si>
  <si>
    <t>Московский  165</t>
  </si>
  <si>
    <t>Московский  167</t>
  </si>
  <si>
    <t>Московский  171</t>
  </si>
  <si>
    <t>Московский  173</t>
  </si>
  <si>
    <t>Московский  175</t>
  </si>
  <si>
    <t>Московский  179</t>
  </si>
  <si>
    <t>Московский  177</t>
  </si>
  <si>
    <t>Фрунзе д.2</t>
  </si>
  <si>
    <t>Фрунзе д.3</t>
  </si>
  <si>
    <t>Фрунзе д.8</t>
  </si>
  <si>
    <t>Чернышевского 6</t>
  </si>
  <si>
    <t>Чернышевского д.8</t>
  </si>
  <si>
    <t>Ленинский  178/2</t>
  </si>
  <si>
    <t>Ленинский  178/3</t>
  </si>
  <si>
    <t>Краснопутиловская д.72-58</t>
  </si>
  <si>
    <t>Новоизмайловский 31-94</t>
  </si>
  <si>
    <t>Краснопутиловская д.84-76</t>
  </si>
  <si>
    <t>Краснопутиловская 90</t>
  </si>
  <si>
    <t>Краснопутиловская 92</t>
  </si>
  <si>
    <t>Краснопутиловская 94</t>
  </si>
  <si>
    <t>Варшавская д.61-75</t>
  </si>
  <si>
    <t>Новоизмайловский 44/1-30</t>
  </si>
  <si>
    <t xml:space="preserve">март </t>
  </si>
  <si>
    <t>Кубинская 48  кв.58,38,17,18,19,20,1,3пар</t>
  </si>
  <si>
    <t>Кубинская 24  кв.1,2,3,4,5пар</t>
  </si>
  <si>
    <t xml:space="preserve">Кубинская 48  17,18 </t>
  </si>
  <si>
    <t>Новоизмайловский 71-74</t>
  </si>
  <si>
    <t>Краснопутиловская 74-60</t>
  </si>
  <si>
    <t>Новоизмайловский 39/1-35</t>
  </si>
  <si>
    <t>Новоизмайловский  81 кв.85,53,15</t>
  </si>
  <si>
    <t>Ленинский   166</t>
  </si>
  <si>
    <t>Ленинский   170</t>
  </si>
  <si>
    <t>Варшавская д.37/1</t>
  </si>
  <si>
    <t>Варшавская д.43/1-177</t>
  </si>
  <si>
    <t>Варшавская д.45/2 -55</t>
  </si>
  <si>
    <t>Новоизмайловский 20/3-3л\кл.</t>
  </si>
  <si>
    <t>Варшавская д.41/4-кв.20</t>
  </si>
  <si>
    <t>Варшавская д.41/4-кв.97</t>
  </si>
  <si>
    <t>Варшавская д.41/4-кв.99</t>
  </si>
  <si>
    <t>Варшавская д.41/4-кв.37</t>
  </si>
  <si>
    <t>Варшавская д.41/4-кв.40</t>
  </si>
  <si>
    <t>Варшавская д.41/4-2л/кл</t>
  </si>
  <si>
    <t>Новоизмайловский 32/4 кв.60</t>
  </si>
  <si>
    <t>Новоизмайловский 32/4 кв.97</t>
  </si>
  <si>
    <t>Новоизмайловский 32/4 кв.58</t>
  </si>
  <si>
    <t>Новоизмайловский 38/1  кв.39</t>
  </si>
  <si>
    <t>Ленинский пр.172-39</t>
  </si>
  <si>
    <t>Ленинский пр.164-80</t>
  </si>
  <si>
    <t>Ленинский пр.166-66</t>
  </si>
  <si>
    <t>Ленинский пр.166-62</t>
  </si>
  <si>
    <t>Ленинский пр.170-39</t>
  </si>
  <si>
    <t>Ленинский пр.162-66</t>
  </si>
  <si>
    <t>Московский 163</t>
  </si>
  <si>
    <t>Московский 161</t>
  </si>
  <si>
    <t>Московский 179</t>
  </si>
  <si>
    <t>Московский 173-89</t>
  </si>
  <si>
    <t>Варшавская 58  кв.29</t>
  </si>
  <si>
    <t>Новоизмайловский 24/1-1пар.</t>
  </si>
  <si>
    <t>Ленинский 172 -59</t>
  </si>
  <si>
    <t>Ленинский 172 -39</t>
  </si>
  <si>
    <t>Новоизмайловский  40-93,95,98,97</t>
  </si>
  <si>
    <t>в два слоя</t>
  </si>
  <si>
    <t>Варшавская д.25-17,37,38,39,40,60,3,4,5пар</t>
  </si>
  <si>
    <t>Варшавская д.41/3-17,19,37,38,39,100,97,частично 79,1,3,пар,1,2козырьки</t>
  </si>
  <si>
    <t>Новоизмайловский  32/4-97,100</t>
  </si>
  <si>
    <t>Новоизмайловский  24/1-17,18,19,20,1пар.</t>
  </si>
  <si>
    <t>Бассейная 3-18,98</t>
  </si>
  <si>
    <t>Бассейная 13-17,18,19,20,37,1пар</t>
  </si>
  <si>
    <t>Бассейная 5-18,78,97,2пар</t>
  </si>
  <si>
    <t>Кубинская    6-19,20</t>
  </si>
  <si>
    <t>Новоизмайловский 49-1,2,3,5,4пар.</t>
  </si>
  <si>
    <t>Кубинская    58-9,10,20,30,40,1,2,3пар</t>
  </si>
  <si>
    <t>Кубинская   64-30,50,59,60,69,49,70,2,6,7пар</t>
  </si>
  <si>
    <t>примыкание в пар №3</t>
  </si>
  <si>
    <t>май</t>
  </si>
  <si>
    <t>Краснопутиловская ул. 83 кв. 9,10,30,40,3,5,6,7 л/кл 2,7 пар.</t>
  </si>
  <si>
    <t>Краснопутиловская ул.д. 93 - 20,29,30,50,10;</t>
  </si>
  <si>
    <t>Новоизмайловский пр. 49</t>
  </si>
  <si>
    <t>Кубинская 28-68</t>
  </si>
  <si>
    <t>Новоизмайловский д.17-11</t>
  </si>
  <si>
    <t>Новоизмайловский д.63-52</t>
  </si>
  <si>
    <t>Ленинский  152/3  -2пар</t>
  </si>
  <si>
    <t>Кубинская д.52  кв.39,40,60,17,38,58,100,1,2,4пар.</t>
  </si>
  <si>
    <t>Кубинская д.44  хозблок</t>
  </si>
  <si>
    <t>Кубинская 52</t>
  </si>
  <si>
    <t>Варшавская ул. 45/2-17,20,59</t>
  </si>
  <si>
    <t>Варшавская ул.  д. 47-59,40</t>
  </si>
  <si>
    <t>Новоизмайловский пр. 26/4-58,59,78,19,60,20,37,99,38,77,79,97,100;</t>
  </si>
  <si>
    <t>Варшавская ул. д.55-3</t>
  </si>
  <si>
    <t>Бассейная 27-96</t>
  </si>
  <si>
    <t>Московский 179(окраска)</t>
  </si>
  <si>
    <t>Краснопутиловская ул. 89 кв.29,39</t>
  </si>
  <si>
    <t>Краснопутиловская ул.д. 77 - 47,48,51</t>
  </si>
  <si>
    <t>Кубинская 20 кв.38.59,60</t>
  </si>
  <si>
    <t>Ленинский  152/2  -кв.29,39,59,69,20,7пар.</t>
  </si>
  <si>
    <t>Ленинский  150/2  -кв.50</t>
  </si>
  <si>
    <t>Варшавская ул. 43/3</t>
  </si>
  <si>
    <t>Новоизмайловский пр. 38/1</t>
  </si>
  <si>
    <t>Новоизмайловский пр. 38/4</t>
  </si>
  <si>
    <t>Новоизмайловский пр. д.46  кв.91</t>
  </si>
  <si>
    <t>Варшавская ул. 49 кв.58,60</t>
  </si>
  <si>
    <t>Московский 171</t>
  </si>
  <si>
    <t>Ленинский д.158/2</t>
  </si>
  <si>
    <t>Новоизмайловский пр. 20/4 кв.38,60,79</t>
  </si>
  <si>
    <t>Новоизмайловский пр. 32/3 кв.40, 77, 99</t>
  </si>
  <si>
    <t>Новоизмайловский пр. 20/1  кв.17,18,80,98,4пар.козырек</t>
  </si>
  <si>
    <t>Новоизмайловский пр. д.44/1 - 58, 79, 80-ТСЖ</t>
  </si>
  <si>
    <t>Новоизмайловский пр. 20/2 кв.80</t>
  </si>
  <si>
    <t>Варшавская 61 кв.99</t>
  </si>
  <si>
    <t>Варшавская 61</t>
  </si>
  <si>
    <t>Варшавская 65</t>
  </si>
  <si>
    <t>Московский 175-20,39</t>
  </si>
  <si>
    <t>Московский 167-69,70</t>
  </si>
  <si>
    <t>Московский 189 кв.50,64</t>
  </si>
  <si>
    <t>Варшавская 60  кв.40</t>
  </si>
  <si>
    <t>Варшавская 60  кв.37</t>
  </si>
  <si>
    <t>Краснопутиловская 54-99</t>
  </si>
  <si>
    <t>Краснопутиловская 93-20,3пар</t>
  </si>
  <si>
    <t>Краснопутиловская ул.д. 79  кв.40,49,50,10</t>
  </si>
  <si>
    <t>Новоизмайловский д.17-37,38,80,3пар.</t>
  </si>
  <si>
    <t>Краснопутиловская ул.     д. 83  кв.</t>
  </si>
  <si>
    <t>Кубинская д.34  кв.20,60,98,1,3,5пар</t>
  </si>
  <si>
    <t>Новоизмайловский д.67/2 хозблок</t>
  </si>
  <si>
    <t>Новоизмайловский д.57/1  кв.19,80,97</t>
  </si>
  <si>
    <t>Новоизмайловский пр.46/1 кв.</t>
  </si>
  <si>
    <t>Новоизмайловский пр. 38/3 кв.18,19,20,37,38,39,40,58,59,60,99</t>
  </si>
  <si>
    <t>Варшавская 39/2  кв.38,77,99</t>
  </si>
  <si>
    <t>Ленинский 172  кв.18,19,20,38,59</t>
  </si>
  <si>
    <t>Ленинский 162/1  кв.18</t>
  </si>
  <si>
    <t>Победы д.12-40</t>
  </si>
  <si>
    <t>Московский 179  кв.20,40,53,54,65</t>
  </si>
  <si>
    <t>октябрь</t>
  </si>
  <si>
    <t xml:space="preserve">Варшавская 39/1  кв.38,77,99 </t>
  </si>
  <si>
    <t xml:space="preserve">Варшавская 29/3 </t>
  </si>
  <si>
    <t>Варшавская 58</t>
  </si>
  <si>
    <t>Московский 175  кв.</t>
  </si>
  <si>
    <t>Московский 191  кв.</t>
  </si>
  <si>
    <t>Бассейная д.37кв.46 д.27-77</t>
  </si>
  <si>
    <t>Варшавская д.61</t>
  </si>
  <si>
    <t>ноябрь</t>
  </si>
  <si>
    <t>Варшавская 55</t>
  </si>
  <si>
    <t>Московский 175  кв.19,37,40,  лифтовая</t>
  </si>
  <si>
    <t>Московский 173-17  , д.177-19</t>
  </si>
  <si>
    <t>Ленинский 178/2   2пар.</t>
  </si>
  <si>
    <t>Варшавская 61кв.17,18, 20, 37, 38,   39, 40, 57, 58, 59, 60, 77, 1,2пар</t>
  </si>
  <si>
    <t>декабрь</t>
  </si>
  <si>
    <t>Новоизмайловский 55-98</t>
  </si>
  <si>
    <t xml:space="preserve">Бассейная   15   </t>
  </si>
  <si>
    <t>Краснопутиловская 58-35</t>
  </si>
  <si>
    <t>Новоизмайловский 63-3,4пар</t>
  </si>
  <si>
    <t>Новоизмайловский 67-1,5пар</t>
  </si>
  <si>
    <t>Кубинская д.30  1,2пар.</t>
  </si>
  <si>
    <t>Новоизмайловский  д.85-91</t>
  </si>
  <si>
    <t>Новоизмайловский 20/2-49,60</t>
  </si>
  <si>
    <t>Новоизмайловский 40</t>
  </si>
  <si>
    <t>Новоизмайловский 38/1-1,5пар.</t>
  </si>
  <si>
    <t>Ленинский пр.172-5пар.</t>
  </si>
  <si>
    <t>Ленинский пр.д.166</t>
  </si>
  <si>
    <t>Выполнение адресной программы текущего ремонта по ООО "ЖКС № 3  Московского  района"   за   2008год</t>
  </si>
  <si>
    <t>Выполнение адресной программы текущего ремонта по ООО "ЖКС № 3  Московского  района"   за   2007год</t>
  </si>
  <si>
    <t>Бассейная   13-73</t>
  </si>
  <si>
    <t>Ленинский 158/2</t>
  </si>
  <si>
    <t>Варшавская д.43/1</t>
  </si>
  <si>
    <t>устан.стальной гильзы при обделке мест прим.мягкой кровли</t>
  </si>
  <si>
    <t>Новоизмайловский 38/3-100</t>
  </si>
  <si>
    <t>Новоизмайловский 26/1-5пар.</t>
  </si>
  <si>
    <t>Фрунзе д.1-5пар.</t>
  </si>
  <si>
    <t>Краснопутиловская  д.90</t>
  </si>
  <si>
    <t>Победы 12-20</t>
  </si>
  <si>
    <t>Московский д.173-35</t>
  </si>
  <si>
    <t>Московский д.179-55</t>
  </si>
  <si>
    <t>Кубинская  д.24-97,79,20,2пар</t>
  </si>
  <si>
    <t>Варшавская д.60 (смена обрешетки)</t>
  </si>
  <si>
    <t>Московский д.165-48</t>
  </si>
  <si>
    <t>промазка фальцев</t>
  </si>
  <si>
    <t>Новоизмайловский 24/1-17,18</t>
  </si>
  <si>
    <t>гермет.цементн.раствор. примык. металла к вентканалам</t>
  </si>
  <si>
    <t>Новоизмайловский 24/2 -37,77,97,100</t>
  </si>
  <si>
    <t>Новоизмайловский 24/3-37,40</t>
  </si>
  <si>
    <t>Новоизмайловский 75-17,18</t>
  </si>
  <si>
    <t>смена парапета</t>
  </si>
  <si>
    <t>Кубинская 24-4,5пар.,37,79-98</t>
  </si>
  <si>
    <t>Кубинская 28-5пар.</t>
  </si>
  <si>
    <t>Новоизмайловский пр.19-40,38,99,2,4пар.</t>
  </si>
  <si>
    <t>Краснопутиловская д.74</t>
  </si>
  <si>
    <t>козырек</t>
  </si>
  <si>
    <t>Варшавская 41/2 -97,58,59,4,5пар.</t>
  </si>
  <si>
    <t>Бассейная ул д.37-2,3пар.   лифтовые</t>
  </si>
  <si>
    <t>Новоизмайловский пр.73-37кв.</t>
  </si>
  <si>
    <t>промазка фальцев    0,1м</t>
  </si>
  <si>
    <t>Краснопутиловская д.58</t>
  </si>
  <si>
    <t>промазка фальцев    5,7мм</t>
  </si>
  <si>
    <t>Краснопутиловская д.75-2пар.</t>
  </si>
  <si>
    <t>смена обделок из листовой стали</t>
  </si>
  <si>
    <t>Новоизмайловский пр.д.20/2  кв.93</t>
  </si>
  <si>
    <t>Бассейная ул д.11  кв.97</t>
  </si>
  <si>
    <t>5й проезд   Предпортовый</t>
  </si>
  <si>
    <t xml:space="preserve">Варшавская  ул. д.60 </t>
  </si>
  <si>
    <t>Варшавская 60</t>
  </si>
  <si>
    <t>Московский д.171-3пар</t>
  </si>
  <si>
    <t>Бассейная ул д.37-1,2пар. окрытие лифтовых</t>
  </si>
  <si>
    <t>Новоизмайловский пр.д.30/3-40кв.</t>
  </si>
  <si>
    <t>промазка</t>
  </si>
  <si>
    <t>Кузнецовская ул. д.17-9кв.</t>
  </si>
  <si>
    <t>Бассейная ул. д.11-59кв.</t>
  </si>
  <si>
    <t>Новоизмайловский пр.д.40-93,95кв.</t>
  </si>
  <si>
    <t>Краснопутиловская  д.80-98</t>
  </si>
  <si>
    <t>Пулковское шоссе д.13/1-235,236</t>
  </si>
  <si>
    <t>Чернышевского д.8-31</t>
  </si>
  <si>
    <t>смена колпаков на вент каналах</t>
  </si>
  <si>
    <t>Московский пр.175</t>
  </si>
  <si>
    <t>поджатие фальцев</t>
  </si>
  <si>
    <t>Московский пр.д.195</t>
  </si>
  <si>
    <t>Московский пр.177</t>
  </si>
  <si>
    <t>Московский пр.165</t>
  </si>
  <si>
    <t>Московский пр.161</t>
  </si>
  <si>
    <t>Кузнецовская д.17</t>
  </si>
  <si>
    <t>Варшавская д.48</t>
  </si>
  <si>
    <t>лифтовая</t>
  </si>
  <si>
    <t>Краснопутиловская д.80 кв.98</t>
  </si>
  <si>
    <t>смена вентканала</t>
  </si>
  <si>
    <t>Кубинская  д.22-77кв.</t>
  </si>
  <si>
    <t>Краснопутиловская  д.54 кв.100</t>
  </si>
  <si>
    <t>Ленинский д.161-38</t>
  </si>
  <si>
    <t>Ленинский д.178-67</t>
  </si>
  <si>
    <t>Ленинский д.178</t>
  </si>
  <si>
    <t>укрепление карнизного свеса</t>
  </si>
  <si>
    <t>Кубинская  д.58</t>
  </si>
  <si>
    <t>Ленинский д.157</t>
  </si>
  <si>
    <t>Пулковское шоссе д.13/1</t>
  </si>
  <si>
    <t>смена обделок из листов. Стали</t>
  </si>
  <si>
    <t>Краснопутиловская  д.92-18</t>
  </si>
  <si>
    <t>Выполнение адресной программы текущего ремонта по ООО "ЖКС № 3  Московского  района"   за   2008год-хозспособ</t>
  </si>
  <si>
    <t>2006г</t>
  </si>
  <si>
    <t>Всего</t>
  </si>
  <si>
    <t>кв.м.</t>
  </si>
  <si>
    <t>руб.коп.</t>
  </si>
  <si>
    <t>2007г.</t>
  </si>
  <si>
    <t>2008г.</t>
  </si>
  <si>
    <t>2009г.</t>
  </si>
  <si>
    <t>Московский пр.175-54</t>
  </si>
  <si>
    <t>Новоизмайловский пр.38/1-18</t>
  </si>
  <si>
    <t>Ленинский пр. д. 178  к.   2</t>
  </si>
  <si>
    <t>Ленинский пр. д. 178  к.   3</t>
  </si>
  <si>
    <t>Новоизмайловский пр. д.  20  к.   2</t>
  </si>
  <si>
    <t>Новоизмайловский пр. д.  38  к.   4</t>
  </si>
  <si>
    <t>Новоизмайловский пр. д.  53</t>
  </si>
  <si>
    <t>Чернышевского пл. д.   7</t>
  </si>
  <si>
    <t>Начальник  ППО</t>
  </si>
  <si>
    <t>Т.В. Федорова</t>
  </si>
  <si>
    <t xml:space="preserve">Адрес </t>
  </si>
  <si>
    <t>Вид работ</t>
  </si>
  <si>
    <t>август</t>
  </si>
  <si>
    <t>сентябрь</t>
  </si>
  <si>
    <t>месяц</t>
  </si>
  <si>
    <t>пм</t>
  </si>
  <si>
    <t>Объем пм</t>
  </si>
  <si>
    <t xml:space="preserve">Адресная  программа текущего ремонта   замены розливов  по ООО "ЖКС № 3  Московского  района"   за   2012год </t>
  </si>
  <si>
    <t>Розлив ЦО</t>
  </si>
  <si>
    <t>Розлив ХВС</t>
  </si>
  <si>
    <t>Розлив ХВС, ГВС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</si>
</sst>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?_р_._-;_-@_-"/>
    <numFmt numFmtId="170" formatCode="#,##0.000"/>
    <numFmt numFmtId="171" formatCode="#,##0.0"/>
    <numFmt numFmtId="172" formatCode="#,##0.0000"/>
    <numFmt numFmtId="173" formatCode="[$-FC19]d\ mmmm\ yyyy\ &quot;г.&quot;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sz val="12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2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70" fontId="5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170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170" fontId="8" fillId="34" borderId="11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170" fontId="9" fillId="33" borderId="11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5" fillId="0" borderId="0" xfId="0" applyNumberFormat="1" applyFont="1" applyFill="1" applyAlignment="1">
      <alignment/>
    </xf>
    <xf numFmtId="49" fontId="13" fillId="33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/>
    </xf>
    <xf numFmtId="170" fontId="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/>
    </xf>
    <xf numFmtId="170" fontId="5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70" fontId="16" fillId="34" borderId="11" xfId="0" applyNumberFormat="1" applyFont="1" applyFill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" fontId="19" fillId="0" borderId="11" xfId="0" applyNumberFormat="1" applyFont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11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170" fontId="12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170" fontId="1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35" borderId="0" xfId="0" applyFont="1" applyFill="1" applyAlignment="1">
      <alignment horizontal="center"/>
    </xf>
    <xf numFmtId="0" fontId="20" fillId="35" borderId="11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/>
    </xf>
    <xf numFmtId="3" fontId="21" fillId="35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35" borderId="0" xfId="0" applyFont="1" applyFill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165" fontId="20" fillId="3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45;&#1044;&#1054;&#1056;&#1054;&#1042;&#1040;\&#1046;&#1050;&#1057;%20&#8470;3\&#1054;&#1058;&#1063;&#1045;&#1058;&#1067;%202007&#1075;&#1086;&#1076;\&#1053;&#1054;&#1071;&#1041;&#1056;&#1068;\&#1048;&#1089;&#1087;&#1086;&#1083;&#1085;&#1077;&#1085;&#1080;&#1077;%20&#1087;&#1083;&#1072;&#1085;&#1072;%20&#1079;&#1072;%20&#1085;&#1086;&#1103;&#1073;&#1088;&#1100;%20%202007%20&#1075;.%20&#1051;&#1054;&#1058;%20&#8470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45;&#1044;&#1054;&#1056;&#1054;&#1042;&#1040;\&#1046;&#1050;&#1057;%20&#8470;3\&#1054;&#1058;&#1063;&#1045;&#1058;&#1067;%202007&#1075;&#1086;&#1076;\&#1044;&#1045;&#1050;&#1040;&#1041;&#1056;&#1068;\&#1048;&#1089;&#1087;&#1086;&#1083;&#1085;&#1077;&#1085;&#1080;&#1077;%20&#1087;&#1083;&#1072;&#1085;&#1072;%20&#1076;&#1077;&#1082;&#1072;&#1073;&#1088;&#1100;%20%202007%20&#1075;.%20&#1051;&#1054;&#1058;%20&#8470;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45;&#1044;&#1054;&#1056;&#1054;&#1042;&#1040;\&#1046;&#1050;&#1057;%20&#8470;3\&#1054;&#1058;&#1063;&#1045;&#1058;&#1067;%202007&#1075;&#1086;&#1076;\&#1044;&#1045;&#1050;&#1040;&#1041;&#1056;&#1068;\&#1048;&#1089;&#1087;&#1086;&#1083;&#1085;&#1077;&#1085;&#1080;&#1077;%20&#1087;&#1083;&#1072;&#1085;&#1072;%20&#1079;&#1072;%20%20&#1076;&#1077;&#1082;&#1072;&#1073;&#1088;&#1100;%20%20%202007%20&#1075;.%20&#1051;&#1054;&#1058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рядчики"/>
      <sheetName val="Приложение 1"/>
      <sheetName val="приложение 2"/>
    </sheetNames>
    <sheetDataSet>
      <sheetData sheetId="2">
        <row r="16">
          <cell r="AP16">
            <v>0.046</v>
          </cell>
          <cell r="AQ16">
            <v>0.391</v>
          </cell>
        </row>
        <row r="17">
          <cell r="AP17">
            <v>30.42</v>
          </cell>
          <cell r="AQ17">
            <v>234.75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рядчики"/>
      <sheetName val="Приложение 1"/>
      <sheetName val="приложение 2"/>
    </sheetNames>
    <sheetDataSet>
      <sheetData sheetId="2">
        <row r="16">
          <cell r="AV16">
            <v>0.09</v>
          </cell>
        </row>
        <row r="18">
          <cell r="AV18">
            <v>0.008</v>
          </cell>
        </row>
        <row r="20">
          <cell r="AV20">
            <v>0.003</v>
          </cell>
        </row>
        <row r="22">
          <cell r="AV22">
            <v>0.006</v>
          </cell>
        </row>
        <row r="24">
          <cell r="AV24">
            <v>0.044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рядчики"/>
      <sheetName val="Приложение 3"/>
      <sheetName val="приложение 4"/>
    </sheetNames>
    <sheetDataSet>
      <sheetData sheetId="2">
        <row r="17">
          <cell r="AV17">
            <v>0.043</v>
          </cell>
          <cell r="AW17">
            <v>0.2</v>
          </cell>
        </row>
        <row r="18">
          <cell r="AV18">
            <v>2.81</v>
          </cell>
          <cell r="AW18">
            <v>119.72291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A3" sqref="A3:F15"/>
    </sheetView>
  </sheetViews>
  <sheetFormatPr defaultColWidth="9.00390625" defaultRowHeight="12.75"/>
  <cols>
    <col min="1" max="1" width="15.875" style="0" customWidth="1"/>
    <col min="2" max="2" width="9.875" style="0" customWidth="1"/>
    <col min="3" max="3" width="12.25390625" style="0" customWidth="1"/>
    <col min="4" max="4" width="12.75390625" style="0" customWidth="1"/>
    <col min="5" max="5" width="12.25390625" style="0" customWidth="1"/>
    <col min="6" max="7" width="11.75390625" style="0" customWidth="1"/>
    <col min="8" max="8" width="13.00390625" style="0" customWidth="1"/>
    <col min="9" max="9" width="12.875" style="0" customWidth="1"/>
    <col min="10" max="10" width="13.375" style="0" customWidth="1"/>
  </cols>
  <sheetData>
    <row r="2" spans="1:7" ht="15.75">
      <c r="A2" s="161"/>
      <c r="B2" s="161"/>
      <c r="C2" s="161"/>
      <c r="D2" s="161"/>
      <c r="E2" s="161"/>
      <c r="F2" s="161"/>
      <c r="G2" s="161"/>
    </row>
    <row r="3" spans="1:10" ht="15.75">
      <c r="A3" s="168"/>
      <c r="B3" s="169" t="s">
        <v>490</v>
      </c>
      <c r="C3" s="169" t="s">
        <v>494</v>
      </c>
      <c r="D3" s="169" t="s">
        <v>495</v>
      </c>
      <c r="E3" s="169" t="s">
        <v>496</v>
      </c>
      <c r="F3" s="169" t="s">
        <v>491</v>
      </c>
      <c r="G3" s="163"/>
      <c r="H3" s="163" t="s">
        <v>494</v>
      </c>
      <c r="I3" s="163" t="s">
        <v>495</v>
      </c>
      <c r="J3" s="163" t="s">
        <v>496</v>
      </c>
    </row>
    <row r="4" spans="1:10" ht="15.75">
      <c r="A4" s="168" t="s">
        <v>113</v>
      </c>
      <c r="B4" s="170"/>
      <c r="C4" s="170"/>
      <c r="D4" s="170"/>
      <c r="E4" s="170"/>
      <c r="F4" s="170"/>
      <c r="G4" s="164"/>
      <c r="H4" s="163"/>
      <c r="I4" s="163"/>
      <c r="J4" s="163"/>
    </row>
    <row r="5" spans="1:14" ht="15.75">
      <c r="A5" s="171" t="s">
        <v>492</v>
      </c>
      <c r="B5" s="172">
        <v>1.167</v>
      </c>
      <c r="C5" s="172">
        <f>'2007г.'!D91</f>
        <v>4.7703</v>
      </c>
      <c r="D5" s="172">
        <f>'2008г. Подрядчики'!E21+'2008г. хозспособ'!E67</f>
        <v>1.8730000000000002</v>
      </c>
      <c r="E5" s="172" t="e">
        <f>#REF!+#REF!</f>
        <v>#REF!</v>
      </c>
      <c r="F5" s="172" t="e">
        <f>SUM(B5:E5)</f>
        <v>#REF!</v>
      </c>
      <c r="G5" s="165"/>
      <c r="H5" s="163">
        <f>4.269+0.54+0.0243</f>
        <v>4.8333</v>
      </c>
      <c r="I5" s="163">
        <f>0.804+0.704</f>
        <v>1.508</v>
      </c>
      <c r="J5" s="163"/>
      <c r="N5" s="119"/>
    </row>
    <row r="6" spans="1:14" ht="15.75">
      <c r="A6" s="171" t="s">
        <v>493</v>
      </c>
      <c r="B6" s="170">
        <v>135.48</v>
      </c>
      <c r="C6" s="170">
        <f>'2007г.'!D92</f>
        <v>1824.8662841599996</v>
      </c>
      <c r="D6" s="172">
        <f>'2008г. Подрядчики'!E22+'2008г. хозспособ'!E68</f>
        <v>1152.11875</v>
      </c>
      <c r="E6" s="172" t="e">
        <f>#REF!+#REF!</f>
        <v>#REF!</v>
      </c>
      <c r="F6" s="172" t="e">
        <f>SUM(B6:E6)</f>
        <v>#REF!</v>
      </c>
      <c r="G6" s="165"/>
      <c r="H6" s="163">
        <f>1637.418+158.13+7.063</f>
        <v>1802.6109999999999</v>
      </c>
      <c r="I6" s="163">
        <f>485.37+421.73</f>
        <v>907.1</v>
      </c>
      <c r="J6" s="163"/>
      <c r="N6" s="119"/>
    </row>
    <row r="7" spans="1:14" ht="15.75">
      <c r="A7" s="168"/>
      <c r="B7" s="170"/>
      <c r="C7" s="170"/>
      <c r="D7" s="170"/>
      <c r="E7" s="170"/>
      <c r="F7" s="170"/>
      <c r="G7" s="164"/>
      <c r="H7" s="163"/>
      <c r="I7" s="163"/>
      <c r="J7" s="163"/>
      <c r="N7" s="119"/>
    </row>
    <row r="8" spans="1:14" ht="15.75">
      <c r="A8" s="168" t="s">
        <v>114</v>
      </c>
      <c r="B8" s="170"/>
      <c r="C8" s="170"/>
      <c r="D8" s="170"/>
      <c r="E8" s="170"/>
      <c r="F8" s="170"/>
      <c r="G8" s="164"/>
      <c r="H8" s="163"/>
      <c r="I8" s="163"/>
      <c r="J8" s="163"/>
      <c r="N8" s="119"/>
    </row>
    <row r="9" spans="1:14" ht="15.75">
      <c r="A9" s="171" t="s">
        <v>492</v>
      </c>
      <c r="B9" s="172">
        <v>11.56</v>
      </c>
      <c r="C9" s="172">
        <f>'2007г.'!D4-Всего!C5</f>
        <v>16.13362</v>
      </c>
      <c r="D9" s="172">
        <f>'2008г. Подрядчики'!E4+'2008г. хозспособ'!E4-Всего!D5</f>
        <v>17.547999999999995</v>
      </c>
      <c r="E9" s="172" t="e">
        <f>#REF!-#REF!+#REF!</f>
        <v>#REF!</v>
      </c>
      <c r="F9" s="172" t="e">
        <f>SUM(B9:E9)</f>
        <v>#REF!</v>
      </c>
      <c r="G9" s="165"/>
      <c r="H9" s="163">
        <f>2.176+6.339+7.5675</f>
        <v>16.0825</v>
      </c>
      <c r="I9" s="163">
        <f>13.372+1.857+1.283+2.174</f>
        <v>18.686</v>
      </c>
      <c r="J9" s="164"/>
      <c r="N9" s="119"/>
    </row>
    <row r="10" spans="1:14" ht="15.75">
      <c r="A10" s="171" t="s">
        <v>493</v>
      </c>
      <c r="B10" s="170">
        <v>3349.97</v>
      </c>
      <c r="C10" s="172">
        <f>'2007г.'!D5-Всего!C6</f>
        <v>4785.399726956757</v>
      </c>
      <c r="D10" s="170">
        <f>'2008г. Подрядчики'!E5+'2008г. хозспособ'!E5-Всего!D6</f>
        <v>9118.938110000001</v>
      </c>
      <c r="E10" s="170" t="e">
        <f>#REF!-#REF!+#REF!</f>
        <v>#REF!</v>
      </c>
      <c r="F10" s="170" t="e">
        <f>SUM(B10:E10)</f>
        <v>#REF!</v>
      </c>
      <c r="G10" s="164"/>
      <c r="H10" s="163">
        <f>701.943+1669.18+2436.42</f>
        <v>4807.543</v>
      </c>
      <c r="I10" s="163">
        <f>6993.84+669.04+692.06+1115.95</f>
        <v>9470.890000000001</v>
      </c>
      <c r="J10" s="163"/>
      <c r="N10" s="119"/>
    </row>
    <row r="11" spans="1:14" ht="15.75">
      <c r="A11" s="168"/>
      <c r="B11" s="170"/>
      <c r="C11" s="170"/>
      <c r="D11" s="170"/>
      <c r="E11" s="170"/>
      <c r="F11" s="170"/>
      <c r="G11" s="164"/>
      <c r="H11" s="163"/>
      <c r="I11" s="163"/>
      <c r="J11" s="163"/>
      <c r="N11" s="119"/>
    </row>
    <row r="12" spans="1:14" ht="15.75">
      <c r="A12" s="168"/>
      <c r="B12" s="170"/>
      <c r="C12" s="170"/>
      <c r="D12" s="170"/>
      <c r="E12" s="170"/>
      <c r="F12" s="170"/>
      <c r="G12" s="164"/>
      <c r="H12" s="163"/>
      <c r="I12" s="163"/>
      <c r="J12" s="163"/>
      <c r="N12" s="119"/>
    </row>
    <row r="13" spans="1:14" ht="15.75">
      <c r="A13" s="168" t="s">
        <v>491</v>
      </c>
      <c r="B13" s="170"/>
      <c r="C13" s="170"/>
      <c r="D13" s="170"/>
      <c r="E13" s="170"/>
      <c r="F13" s="170"/>
      <c r="G13" s="164"/>
      <c r="H13" s="163"/>
      <c r="I13" s="163"/>
      <c r="J13" s="163"/>
      <c r="N13" s="119"/>
    </row>
    <row r="14" spans="1:14" ht="15.75">
      <c r="A14" s="168"/>
      <c r="B14" s="170">
        <f>B5+B9</f>
        <v>12.727</v>
      </c>
      <c r="C14" s="172">
        <f aca="true" t="shared" si="0" ref="C14:J14">C5+C9</f>
        <v>20.90392</v>
      </c>
      <c r="D14" s="172">
        <f t="shared" si="0"/>
        <v>19.420999999999996</v>
      </c>
      <c r="E14" s="172" t="e">
        <f t="shared" si="0"/>
        <v>#REF!</v>
      </c>
      <c r="F14" s="172" t="e">
        <f t="shared" si="0"/>
        <v>#REF!</v>
      </c>
      <c r="G14" s="165"/>
      <c r="H14" s="165">
        <f t="shared" si="0"/>
        <v>20.9158</v>
      </c>
      <c r="I14" s="165">
        <v>19.412</v>
      </c>
      <c r="J14" s="165">
        <f t="shared" si="0"/>
        <v>0</v>
      </c>
      <c r="N14" s="119">
        <f>I14-D14</f>
        <v>-0.008999999999996788</v>
      </c>
    </row>
    <row r="15" spans="1:14" ht="15.75">
      <c r="A15" s="168"/>
      <c r="B15" s="170">
        <f>B6+B10</f>
        <v>3485.45</v>
      </c>
      <c r="C15" s="170">
        <f aca="true" t="shared" si="1" ref="C15:J15">C6+C10</f>
        <v>6610.266011116757</v>
      </c>
      <c r="D15" s="170">
        <f t="shared" si="1"/>
        <v>10271.05686</v>
      </c>
      <c r="E15" s="170" t="e">
        <f t="shared" si="1"/>
        <v>#REF!</v>
      </c>
      <c r="F15" s="170" t="e">
        <f t="shared" si="1"/>
        <v>#REF!</v>
      </c>
      <c r="G15" s="164"/>
      <c r="H15" s="164">
        <f t="shared" si="1"/>
        <v>6610.1539999999995</v>
      </c>
      <c r="I15" s="164">
        <f t="shared" si="1"/>
        <v>10377.990000000002</v>
      </c>
      <c r="J15" s="164">
        <f t="shared" si="1"/>
        <v>0</v>
      </c>
      <c r="N15" s="119">
        <f>I15-D15</f>
        <v>106.933140000001</v>
      </c>
    </row>
    <row r="16" spans="1:7" ht="15.75">
      <c r="A16" s="162"/>
      <c r="B16" s="164"/>
      <c r="C16" s="164"/>
      <c r="D16" s="164"/>
      <c r="E16" s="164"/>
      <c r="F16" s="164"/>
      <c r="G16" s="166"/>
    </row>
    <row r="17" spans="1:7" ht="15.75">
      <c r="A17" s="162"/>
      <c r="B17" s="164"/>
      <c r="C17" s="164"/>
      <c r="D17" s="164">
        <f>'2008г. Подрядчики'!E4+'2008г. хозспособ'!E4</f>
        <v>19.420999999999996</v>
      </c>
      <c r="E17" s="164"/>
      <c r="F17" s="164"/>
      <c r="G17" s="166"/>
    </row>
    <row r="18" spans="1:7" ht="15.75">
      <c r="A18" s="162"/>
      <c r="B18" s="164"/>
      <c r="C18" s="164"/>
      <c r="D18" s="164">
        <f>'2008г. Подрядчики'!E5+'2008г. хозспособ'!E5</f>
        <v>10271.05686</v>
      </c>
      <c r="E18" s="164"/>
      <c r="F18" s="164"/>
      <c r="G18" s="166"/>
    </row>
    <row r="19" spans="1:7" ht="15.75">
      <c r="A19" s="162"/>
      <c r="B19" s="164"/>
      <c r="C19" s="164"/>
      <c r="D19" s="164"/>
      <c r="E19" s="164"/>
      <c r="F19" s="164"/>
      <c r="G19" s="166"/>
    </row>
    <row r="20" spans="1:7" ht="15.75">
      <c r="A20" s="162"/>
      <c r="B20" s="164"/>
      <c r="C20" s="164"/>
      <c r="D20" s="164"/>
      <c r="E20" s="164"/>
      <c r="F20" s="164"/>
      <c r="G20" s="166"/>
    </row>
    <row r="21" spans="1:7" ht="15.75">
      <c r="A21" s="162"/>
      <c r="B21" s="164"/>
      <c r="C21" s="164"/>
      <c r="D21" s="164"/>
      <c r="E21" s="164"/>
      <c r="F21" s="164"/>
      <c r="G21" s="166"/>
    </row>
    <row r="22" spans="1:7" ht="15.75">
      <c r="A22" s="162"/>
      <c r="B22" s="164"/>
      <c r="C22" s="164"/>
      <c r="D22" s="164"/>
      <c r="E22" s="164"/>
      <c r="F22" s="164"/>
      <c r="G22" s="166"/>
    </row>
    <row r="23" spans="1:7" ht="15.75">
      <c r="A23" s="162"/>
      <c r="B23" s="164"/>
      <c r="C23" s="164"/>
      <c r="D23" s="164"/>
      <c r="E23" s="164"/>
      <c r="F23" s="164"/>
      <c r="G23" s="166"/>
    </row>
    <row r="24" spans="1:7" ht="15.75">
      <c r="A24" s="162"/>
      <c r="B24" s="164"/>
      <c r="C24" s="164"/>
      <c r="D24" s="164"/>
      <c r="E24" s="164"/>
      <c r="F24" s="164"/>
      <c r="G24" s="166"/>
    </row>
    <row r="25" spans="1:7" ht="15.75">
      <c r="A25" s="162"/>
      <c r="B25" s="164"/>
      <c r="C25" s="164"/>
      <c r="D25" s="164"/>
      <c r="E25" s="164"/>
      <c r="F25" s="164"/>
      <c r="G25" s="166"/>
    </row>
    <row r="26" spans="1:7" ht="15.75">
      <c r="A26" s="162"/>
      <c r="B26" s="164"/>
      <c r="C26" s="164"/>
      <c r="D26" s="164"/>
      <c r="E26" s="164"/>
      <c r="F26" s="164"/>
      <c r="G26" s="166"/>
    </row>
    <row r="27" spans="1:7" ht="15.75">
      <c r="A27" s="162"/>
      <c r="B27" s="164"/>
      <c r="C27" s="164"/>
      <c r="D27" s="164"/>
      <c r="E27" s="164"/>
      <c r="F27" s="164"/>
      <c r="G27" s="166"/>
    </row>
    <row r="28" spans="1:7" ht="15.75">
      <c r="A28" s="162"/>
      <c r="B28" s="162"/>
      <c r="C28" s="162"/>
      <c r="D28" s="162"/>
      <c r="E28" s="162"/>
      <c r="F28" s="162"/>
      <c r="G28" s="167"/>
    </row>
    <row r="29" spans="1:7" ht="15.75">
      <c r="A29" s="162"/>
      <c r="B29" s="162"/>
      <c r="C29" s="162"/>
      <c r="D29" s="162"/>
      <c r="E29" s="162"/>
      <c r="F29" s="162"/>
      <c r="G29" s="167"/>
    </row>
    <row r="30" spans="1:7" ht="15.75">
      <c r="A30" s="162"/>
      <c r="B30" s="162"/>
      <c r="C30" s="162"/>
      <c r="D30" s="162"/>
      <c r="E30" s="162"/>
      <c r="F30" s="162"/>
      <c r="G30" s="167"/>
    </row>
    <row r="31" spans="1:7" ht="15.75">
      <c r="A31" s="162"/>
      <c r="B31" s="162"/>
      <c r="C31" s="162"/>
      <c r="D31" s="162"/>
      <c r="E31" s="162"/>
      <c r="F31" s="162"/>
      <c r="G31" s="167"/>
    </row>
    <row r="32" spans="1:7" ht="15.75">
      <c r="A32" s="162"/>
      <c r="B32" s="162"/>
      <c r="C32" s="162"/>
      <c r="D32" s="162"/>
      <c r="E32" s="162"/>
      <c r="F32" s="162"/>
      <c r="G32" s="167"/>
    </row>
    <row r="33" spans="1:7" ht="15.75">
      <c r="A33" s="162"/>
      <c r="B33" s="162"/>
      <c r="C33" s="162"/>
      <c r="D33" s="162"/>
      <c r="E33" s="162"/>
      <c r="F33" s="162"/>
      <c r="G33" s="167"/>
    </row>
    <row r="34" spans="1:7" ht="15.75">
      <c r="A34" s="162"/>
      <c r="B34" s="162"/>
      <c r="C34" s="162"/>
      <c r="D34" s="162"/>
      <c r="E34" s="162"/>
      <c r="F34" s="162"/>
      <c r="G34" s="167"/>
    </row>
    <row r="35" spans="1:7" ht="15.75">
      <c r="A35" s="162"/>
      <c r="B35" s="162"/>
      <c r="C35" s="162"/>
      <c r="D35" s="162"/>
      <c r="E35" s="162"/>
      <c r="F35" s="162"/>
      <c r="G35" s="167"/>
    </row>
    <row r="36" spans="1:7" ht="15.75">
      <c r="A36" s="162"/>
      <c r="B36" s="162"/>
      <c r="C36" s="162"/>
      <c r="D36" s="162"/>
      <c r="E36" s="162"/>
      <c r="F36" s="162"/>
      <c r="G36" s="1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0"/>
  <sheetViews>
    <sheetView zoomScalePageLayoutView="0" workbookViewId="0" topLeftCell="A431">
      <selection activeCell="E87" sqref="E87"/>
    </sheetView>
  </sheetViews>
  <sheetFormatPr defaultColWidth="9.00390625" defaultRowHeight="12.75"/>
  <cols>
    <col min="1" max="1" width="26.625" style="2" customWidth="1"/>
    <col min="2" max="2" width="28.625" style="1" customWidth="1"/>
    <col min="3" max="3" width="16.875" style="1" customWidth="1"/>
    <col min="4" max="4" width="9.375" style="2" customWidth="1"/>
    <col min="5" max="5" width="12.875" style="72" customWidth="1"/>
    <col min="6" max="6" width="12.375" style="0" customWidth="1"/>
    <col min="7" max="7" width="13.75390625" style="0" customWidth="1"/>
    <col min="8" max="8" width="13.00390625" style="0" customWidth="1"/>
    <col min="9" max="9" width="9.00390625" style="0" customWidth="1"/>
  </cols>
  <sheetData>
    <row r="1" spans="1:5" ht="42.75" customHeight="1">
      <c r="A1" s="189" t="s">
        <v>415</v>
      </c>
      <c r="B1" s="189"/>
      <c r="C1" s="189"/>
      <c r="D1" s="189"/>
      <c r="E1" s="189"/>
    </row>
    <row r="2" spans="1:5" ht="12.75">
      <c r="A2" s="15"/>
      <c r="E2" s="59"/>
    </row>
    <row r="3" spans="1:9" ht="29.25" customHeight="1">
      <c r="A3" s="46"/>
      <c r="B3" s="47" t="s">
        <v>111</v>
      </c>
      <c r="C3" s="47" t="s">
        <v>0</v>
      </c>
      <c r="D3" s="47"/>
      <c r="E3" s="60" t="s">
        <v>233</v>
      </c>
      <c r="I3" t="s">
        <v>0</v>
      </c>
    </row>
    <row r="4" spans="1:7" ht="15.75" customHeight="1">
      <c r="A4" s="46"/>
      <c r="B4" s="47"/>
      <c r="C4" s="47"/>
      <c r="D4" s="47"/>
      <c r="E4" s="152">
        <f>E21+E86+E160</f>
        <v>17.421999999999997</v>
      </c>
      <c r="G4" t="e">
        <f>#REF!</f>
        <v>#REF!</v>
      </c>
    </row>
    <row r="5" spans="1:7" ht="15.75" customHeight="1">
      <c r="A5" s="46"/>
      <c r="B5" s="47"/>
      <c r="C5" s="47"/>
      <c r="D5" s="47"/>
      <c r="E5" s="152">
        <f>(E22+E87+E161)</f>
        <v>9717.11686</v>
      </c>
      <c r="G5" t="e">
        <f>#REF!*1000</f>
        <v>#REF!</v>
      </c>
    </row>
    <row r="6" spans="1:5" ht="12.75" customHeight="1">
      <c r="A6" s="49"/>
      <c r="B6" s="28"/>
      <c r="C6" s="28"/>
      <c r="D6" s="29"/>
      <c r="E6" s="61"/>
    </row>
    <row r="7" spans="1:7" ht="12.75" customHeight="1">
      <c r="A7" s="48" t="s">
        <v>115</v>
      </c>
      <c r="B7" s="16" t="s">
        <v>112</v>
      </c>
      <c r="C7" s="137" t="s">
        <v>113</v>
      </c>
      <c r="D7" s="30" t="s">
        <v>2</v>
      </c>
      <c r="E7" s="62">
        <v>0.23</v>
      </c>
      <c r="G7" s="82" t="e">
        <f>E5-G5</f>
        <v>#REF!</v>
      </c>
    </row>
    <row r="8" spans="1:5" ht="12.75" customHeight="1">
      <c r="A8" s="49"/>
      <c r="B8" s="12"/>
      <c r="C8" s="12"/>
      <c r="D8" s="30" t="s">
        <v>1</v>
      </c>
      <c r="E8" s="62">
        <v>139862.89</v>
      </c>
    </row>
    <row r="9" spans="1:5" ht="15" customHeight="1">
      <c r="A9" s="48" t="s">
        <v>115</v>
      </c>
      <c r="B9" s="16" t="s">
        <v>40</v>
      </c>
      <c r="C9" s="137" t="s">
        <v>113</v>
      </c>
      <c r="D9" s="30" t="s">
        <v>2</v>
      </c>
      <c r="E9" s="62">
        <v>0.27</v>
      </c>
    </row>
    <row r="10" spans="1:5" ht="12.75" customHeight="1">
      <c r="A10" s="48"/>
      <c r="B10" s="16"/>
      <c r="C10" s="16"/>
      <c r="D10" s="30" t="s">
        <v>1</v>
      </c>
      <c r="E10" s="62">
        <v>182361.18</v>
      </c>
    </row>
    <row r="11" spans="1:5" ht="12.75" customHeight="1">
      <c r="A11" s="48" t="s">
        <v>115</v>
      </c>
      <c r="B11" s="16" t="s">
        <v>41</v>
      </c>
      <c r="C11" s="137" t="s">
        <v>113</v>
      </c>
      <c r="D11" s="31" t="s">
        <v>2</v>
      </c>
      <c r="E11" s="63">
        <v>0.15</v>
      </c>
    </row>
    <row r="12" spans="1:5" ht="12.75" customHeight="1">
      <c r="A12" s="48"/>
      <c r="B12" s="20"/>
      <c r="C12" s="20"/>
      <c r="D12" s="31" t="s">
        <v>1</v>
      </c>
      <c r="E12" s="63">
        <v>101324.57</v>
      </c>
    </row>
    <row r="13" spans="1:5" ht="12.75" customHeight="1">
      <c r="A13" s="48" t="s">
        <v>115</v>
      </c>
      <c r="B13" s="16" t="s">
        <v>130</v>
      </c>
      <c r="C13" s="137" t="s">
        <v>113</v>
      </c>
      <c r="D13" s="30" t="s">
        <v>2</v>
      </c>
      <c r="E13" s="64">
        <v>0.17</v>
      </c>
    </row>
    <row r="14" spans="1:5" ht="12.75" customHeight="1">
      <c r="A14" s="48"/>
      <c r="B14" s="16"/>
      <c r="C14" s="16"/>
      <c r="D14" s="30" t="s">
        <v>1</v>
      </c>
      <c r="E14" s="64">
        <v>114836.88</v>
      </c>
    </row>
    <row r="15" spans="1:5" ht="12.75" customHeight="1">
      <c r="A15" s="48" t="s">
        <v>115</v>
      </c>
      <c r="B15" s="16" t="s">
        <v>59</v>
      </c>
      <c r="C15" s="137" t="s">
        <v>113</v>
      </c>
      <c r="D15" s="31" t="s">
        <v>2</v>
      </c>
      <c r="E15" s="65">
        <v>0.15</v>
      </c>
    </row>
    <row r="16" spans="1:5" ht="12.75" customHeight="1">
      <c r="A16" s="48"/>
      <c r="B16" s="20"/>
      <c r="C16" s="20"/>
      <c r="D16" s="31" t="s">
        <v>1</v>
      </c>
      <c r="E16" s="65">
        <v>101324.57</v>
      </c>
    </row>
    <row r="17" spans="1:5" ht="12.75" customHeight="1">
      <c r="A17" s="48" t="s">
        <v>177</v>
      </c>
      <c r="B17" s="25" t="s">
        <v>119</v>
      </c>
      <c r="C17" s="137" t="s">
        <v>113</v>
      </c>
      <c r="D17" s="30" t="s">
        <v>2</v>
      </c>
      <c r="E17" s="64">
        <v>0.262</v>
      </c>
    </row>
    <row r="18" spans="1:5" ht="12.75" customHeight="1">
      <c r="A18" s="48"/>
      <c r="B18" s="12"/>
      <c r="C18" s="32"/>
      <c r="D18" s="30" t="s">
        <v>1</v>
      </c>
      <c r="E18" s="64">
        <v>248453.66</v>
      </c>
    </row>
    <row r="19" spans="1:6" ht="12.75" customHeight="1">
      <c r="A19" s="48" t="s">
        <v>143</v>
      </c>
      <c r="B19" s="25" t="s">
        <v>119</v>
      </c>
      <c r="C19" s="137" t="s">
        <v>113</v>
      </c>
      <c r="D19" s="30" t="s">
        <v>2</v>
      </c>
      <c r="E19" s="64">
        <v>0.15</v>
      </c>
      <c r="F19" s="81"/>
    </row>
    <row r="20" spans="1:5" ht="12.75" customHeight="1">
      <c r="A20" s="48"/>
      <c r="B20" s="12"/>
      <c r="C20" s="32"/>
      <c r="D20" s="30" t="s">
        <v>1</v>
      </c>
      <c r="E20" s="64">
        <v>111305</v>
      </c>
    </row>
    <row r="21" spans="1:5" ht="12.75" customHeight="1">
      <c r="A21" s="38"/>
      <c r="B21" s="33"/>
      <c r="C21" s="33" t="s">
        <v>113</v>
      </c>
      <c r="D21" s="34" t="s">
        <v>2</v>
      </c>
      <c r="E21" s="80">
        <f>E7+E9+E11+E13+E15+E17+E19</f>
        <v>1.3820000000000001</v>
      </c>
    </row>
    <row r="22" spans="1:10" ht="12.75" customHeight="1">
      <c r="A22" s="50"/>
      <c r="B22" s="35"/>
      <c r="C22" s="35"/>
      <c r="D22" s="34" t="s">
        <v>1</v>
      </c>
      <c r="E22" s="80">
        <f>(E8+E10+E12+E14+E16+E18+E20)/1000</f>
        <v>999.4687500000001</v>
      </c>
      <c r="G22" s="13" t="s">
        <v>72</v>
      </c>
      <c r="H22" s="13"/>
      <c r="I22" s="30" t="s">
        <v>2</v>
      </c>
      <c r="J22" s="62">
        <v>0.252</v>
      </c>
    </row>
    <row r="23" spans="1:10" ht="12.75" customHeight="1">
      <c r="A23" s="48"/>
      <c r="B23" s="28"/>
      <c r="C23" s="28"/>
      <c r="D23" s="29"/>
      <c r="E23"/>
      <c r="F23">
        <f>F24+F26+F28+F30+F32+F34+F36+F38+F40+F42+F44+F46+F48+F50+F52+F54+F56+F58+F60+F62+F64+F66+F68+F70+F72+F74+F76+F78+F80+F82+F84</f>
        <v>0</v>
      </c>
      <c r="G23" s="24"/>
      <c r="H23" s="24"/>
      <c r="I23" s="30" t="s">
        <v>1</v>
      </c>
      <c r="J23" s="62">
        <v>140.02</v>
      </c>
    </row>
    <row r="24" spans="1:10" ht="12.75" customHeight="1">
      <c r="A24" s="48" t="s">
        <v>115</v>
      </c>
      <c r="B24" s="36" t="s">
        <v>7</v>
      </c>
      <c r="C24" s="138" t="s">
        <v>114</v>
      </c>
      <c r="D24" s="30" t="s">
        <v>2</v>
      </c>
      <c r="E24" s="64">
        <v>0.51</v>
      </c>
      <c r="G24" s="13" t="s">
        <v>73</v>
      </c>
      <c r="H24" s="13"/>
      <c r="I24" s="30" t="s">
        <v>2</v>
      </c>
      <c r="J24" s="62">
        <v>0.113</v>
      </c>
    </row>
    <row r="25" spans="1:10" ht="12.75" customHeight="1">
      <c r="A25" s="48"/>
      <c r="B25" s="13"/>
      <c r="C25" s="13"/>
      <c r="D25" s="30" t="s">
        <v>1</v>
      </c>
      <c r="E25" s="64">
        <f>189467.42+94659.21</f>
        <v>284126.63</v>
      </c>
      <c r="G25" s="17"/>
      <c r="H25" s="17"/>
      <c r="I25" s="31" t="s">
        <v>1</v>
      </c>
      <c r="J25" s="62">
        <v>62.79</v>
      </c>
    </row>
    <row r="26" spans="1:10" ht="12.75" customHeight="1">
      <c r="A26" s="48" t="s">
        <v>115</v>
      </c>
      <c r="B26" s="16" t="s">
        <v>9</v>
      </c>
      <c r="C26" s="138" t="s">
        <v>114</v>
      </c>
      <c r="D26" s="31" t="s">
        <v>2</v>
      </c>
      <c r="E26" s="63">
        <v>0.8</v>
      </c>
      <c r="G26" s="13" t="s">
        <v>74</v>
      </c>
      <c r="H26" s="13"/>
      <c r="I26" s="30" t="s">
        <v>2</v>
      </c>
      <c r="J26" s="62">
        <v>0.061</v>
      </c>
    </row>
    <row r="27" spans="1:10" ht="12.75" customHeight="1">
      <c r="A27" s="37"/>
      <c r="B27" s="16"/>
      <c r="C27" s="16"/>
      <c r="D27" s="31" t="s">
        <v>1</v>
      </c>
      <c r="E27" s="63">
        <f>66807.26+150170.92+147203.17</f>
        <v>364181.35</v>
      </c>
      <c r="G27" s="17"/>
      <c r="H27" s="17"/>
      <c r="I27" s="31" t="s">
        <v>1</v>
      </c>
      <c r="J27" s="62">
        <v>33.89</v>
      </c>
    </row>
    <row r="28" spans="1:10" ht="12.75" customHeight="1">
      <c r="A28" s="48" t="s">
        <v>115</v>
      </c>
      <c r="B28" s="12" t="s">
        <v>10</v>
      </c>
      <c r="C28" s="138" t="s">
        <v>114</v>
      </c>
      <c r="D28" s="30" t="s">
        <v>2</v>
      </c>
      <c r="E28" s="62">
        <v>0.818</v>
      </c>
      <c r="G28" s="13" t="s">
        <v>75</v>
      </c>
      <c r="H28" s="13"/>
      <c r="I28" s="30" t="s">
        <v>2</v>
      </c>
      <c r="J28" s="62">
        <v>0.165</v>
      </c>
    </row>
    <row r="29" spans="1:10" ht="12.75" customHeight="1">
      <c r="A29" s="48"/>
      <c r="B29" s="12"/>
      <c r="C29" s="12"/>
      <c r="D29" s="30" t="s">
        <v>1</v>
      </c>
      <c r="E29" s="62">
        <f>157410.09+111685.8</f>
        <v>269095.89</v>
      </c>
      <c r="G29" s="17"/>
      <c r="H29" s="17"/>
      <c r="I29" s="31" t="s">
        <v>1</v>
      </c>
      <c r="J29" s="62">
        <v>91.68</v>
      </c>
    </row>
    <row r="30" spans="1:5" ht="12.75">
      <c r="A30" s="48" t="s">
        <v>143</v>
      </c>
      <c r="B30" s="16" t="s">
        <v>131</v>
      </c>
      <c r="C30" s="139" t="s">
        <v>64</v>
      </c>
      <c r="D30" s="31" t="s">
        <v>2</v>
      </c>
      <c r="E30" s="140">
        <v>0.364</v>
      </c>
    </row>
    <row r="31" spans="1:5" ht="12.75">
      <c r="A31" s="48"/>
      <c r="B31" s="16"/>
      <c r="C31" s="16"/>
      <c r="D31" s="31" t="s">
        <v>1</v>
      </c>
      <c r="E31" s="63">
        <v>135400</v>
      </c>
    </row>
    <row r="32" spans="1:5" ht="12.75">
      <c r="A32" s="48" t="s">
        <v>115</v>
      </c>
      <c r="B32" s="13" t="s">
        <v>63</v>
      </c>
      <c r="C32" s="139" t="s">
        <v>64</v>
      </c>
      <c r="D32" s="30" t="s">
        <v>2</v>
      </c>
      <c r="E32" s="62">
        <v>0.183</v>
      </c>
    </row>
    <row r="33" spans="1:5" ht="12.75">
      <c r="A33" s="48"/>
      <c r="B33" s="13"/>
      <c r="C33" s="139"/>
      <c r="D33" s="30" t="s">
        <v>1</v>
      </c>
      <c r="E33" s="62">
        <v>68509.43</v>
      </c>
    </row>
    <row r="34" spans="1:5" ht="12.75">
      <c r="A34" s="48" t="s">
        <v>115</v>
      </c>
      <c r="B34" s="13" t="s">
        <v>65</v>
      </c>
      <c r="C34" s="139" t="s">
        <v>64</v>
      </c>
      <c r="D34" s="30" t="s">
        <v>2</v>
      </c>
      <c r="E34" s="62">
        <v>0.21</v>
      </c>
    </row>
    <row r="35" spans="1:5" ht="12.75">
      <c r="A35" s="48"/>
      <c r="B35" s="13"/>
      <c r="C35" s="13"/>
      <c r="D35" s="30" t="s">
        <v>1</v>
      </c>
      <c r="E35" s="62">
        <v>80484.58</v>
      </c>
    </row>
    <row r="36" spans="1:5" ht="12.75">
      <c r="A36" s="48" t="s">
        <v>143</v>
      </c>
      <c r="B36" s="13" t="s">
        <v>82</v>
      </c>
      <c r="C36" s="139" t="s">
        <v>194</v>
      </c>
      <c r="D36" s="30" t="s">
        <v>2</v>
      </c>
      <c r="E36" s="64">
        <f>0.045</f>
        <v>0.045</v>
      </c>
    </row>
    <row r="37" spans="1:5" ht="12.75">
      <c r="A37" s="48"/>
      <c r="B37" s="17"/>
      <c r="C37" s="17"/>
      <c r="D37" s="31" t="s">
        <v>1</v>
      </c>
      <c r="E37" s="64">
        <f>57623.47</f>
        <v>57623.47</v>
      </c>
    </row>
    <row r="38" spans="1:5" ht="12.75">
      <c r="A38" s="48" t="s">
        <v>143</v>
      </c>
      <c r="B38" s="13" t="s">
        <v>82</v>
      </c>
      <c r="C38" s="138" t="s">
        <v>114</v>
      </c>
      <c r="D38" s="30" t="s">
        <v>2</v>
      </c>
      <c r="E38" s="64">
        <f>1.061</f>
        <v>1.061</v>
      </c>
    </row>
    <row r="39" spans="1:5" ht="12.75">
      <c r="A39" s="48"/>
      <c r="B39" s="17"/>
      <c r="C39" s="13"/>
      <c r="D39" s="31" t="s">
        <v>1</v>
      </c>
      <c r="E39" s="64">
        <v>582665.19</v>
      </c>
    </row>
    <row r="40" spans="1:5" ht="12.75">
      <c r="A40" s="48" t="s">
        <v>143</v>
      </c>
      <c r="B40" s="13" t="s">
        <v>83</v>
      </c>
      <c r="C40" s="138" t="s">
        <v>114</v>
      </c>
      <c r="D40" s="30" t="s">
        <v>2</v>
      </c>
      <c r="E40" s="64">
        <f>0.61*100/1000</f>
        <v>0.061</v>
      </c>
    </row>
    <row r="41" spans="1:5" ht="12.75">
      <c r="A41" s="48"/>
      <c r="B41" s="17"/>
      <c r="C41" s="16"/>
      <c r="D41" s="31" t="s">
        <v>1</v>
      </c>
      <c r="E41" s="64">
        <v>31490.81</v>
      </c>
    </row>
    <row r="42" spans="1:5" ht="25.5">
      <c r="A42" s="48" t="s">
        <v>143</v>
      </c>
      <c r="B42" s="17" t="s">
        <v>84</v>
      </c>
      <c r="C42" s="138" t="s">
        <v>114</v>
      </c>
      <c r="D42" s="31" t="s">
        <v>2</v>
      </c>
      <c r="E42" s="65">
        <f>1.39*100/1000</f>
        <v>0.139</v>
      </c>
    </row>
    <row r="43" spans="1:5" ht="12.75">
      <c r="A43" s="48"/>
      <c r="B43" s="17"/>
      <c r="C43" s="12"/>
      <c r="D43" s="31" t="s">
        <v>1</v>
      </c>
      <c r="E43" s="64">
        <v>71765.61</v>
      </c>
    </row>
    <row r="44" spans="1:5" ht="12.75">
      <c r="A44" s="48" t="s">
        <v>143</v>
      </c>
      <c r="B44" s="13" t="s">
        <v>85</v>
      </c>
      <c r="C44" s="139" t="s">
        <v>64</v>
      </c>
      <c r="D44" s="30" t="s">
        <v>2</v>
      </c>
      <c r="E44" s="64">
        <v>0.114</v>
      </c>
    </row>
    <row r="45" spans="1:5" ht="12.75">
      <c r="A45" s="48"/>
      <c r="B45" s="24"/>
      <c r="C45" s="16"/>
      <c r="D45" s="30" t="s">
        <v>1</v>
      </c>
      <c r="E45" s="64">
        <v>58861.15</v>
      </c>
    </row>
    <row r="46" spans="1:5" ht="12.75">
      <c r="A46" s="48" t="s">
        <v>143</v>
      </c>
      <c r="B46" s="13" t="s">
        <v>86</v>
      </c>
      <c r="C46" s="139" t="s">
        <v>64</v>
      </c>
      <c r="D46" s="30" t="s">
        <v>2</v>
      </c>
      <c r="E46" s="64">
        <v>0.153</v>
      </c>
    </row>
    <row r="47" spans="1:5" ht="12.75">
      <c r="A47" s="48"/>
      <c r="B47" s="24"/>
      <c r="C47" s="13"/>
      <c r="D47" s="30" t="s">
        <v>1</v>
      </c>
      <c r="E47" s="64">
        <v>78992.55</v>
      </c>
    </row>
    <row r="48" spans="1:5" ht="12.75">
      <c r="A48" s="48" t="s">
        <v>143</v>
      </c>
      <c r="B48" s="13" t="s">
        <v>87</v>
      </c>
      <c r="C48" s="139" t="s">
        <v>64</v>
      </c>
      <c r="D48" s="30" t="s">
        <v>2</v>
      </c>
      <c r="E48" s="64">
        <v>2.5</v>
      </c>
    </row>
    <row r="49" spans="1:5" ht="12.75">
      <c r="A49" s="48"/>
      <c r="B49" s="13"/>
      <c r="C49" s="13"/>
      <c r="D49" s="30" t="s">
        <v>1</v>
      </c>
      <c r="E49" s="64">
        <f>582416.52+873617.7</f>
        <v>1456034.22</v>
      </c>
    </row>
    <row r="50" spans="1:5" ht="12.75">
      <c r="A50" s="48" t="s">
        <v>143</v>
      </c>
      <c r="B50" s="13" t="s">
        <v>88</v>
      </c>
      <c r="C50" s="138" t="s">
        <v>114</v>
      </c>
      <c r="D50" s="30" t="s">
        <v>2</v>
      </c>
      <c r="E50" s="64">
        <v>0.236</v>
      </c>
    </row>
    <row r="51" spans="1:5" ht="12.75">
      <c r="A51" s="48"/>
      <c r="B51" s="13"/>
      <c r="C51" s="13"/>
      <c r="D51" s="30" t="s">
        <v>1</v>
      </c>
      <c r="E51" s="64">
        <v>129573.72</v>
      </c>
    </row>
    <row r="52" spans="1:5" ht="12.75">
      <c r="A52" s="48" t="s">
        <v>143</v>
      </c>
      <c r="B52" s="13" t="s">
        <v>55</v>
      </c>
      <c r="C52" s="138" t="s">
        <v>114</v>
      </c>
      <c r="D52" s="30" t="s">
        <v>2</v>
      </c>
      <c r="E52" s="62">
        <v>0.324</v>
      </c>
    </row>
    <row r="53" spans="1:5" ht="12.75">
      <c r="A53" s="48"/>
      <c r="B53" s="13"/>
      <c r="C53" s="137"/>
      <c r="D53" s="30" t="s">
        <v>1</v>
      </c>
      <c r="E53" s="62">
        <v>177875.86</v>
      </c>
    </row>
    <row r="54" spans="1:5" ht="12.75">
      <c r="A54" s="48" t="s">
        <v>143</v>
      </c>
      <c r="B54" s="13" t="s">
        <v>66</v>
      </c>
      <c r="C54" s="138" t="s">
        <v>114</v>
      </c>
      <c r="D54" s="30" t="s">
        <v>2</v>
      </c>
      <c r="E54" s="62">
        <v>0.37</v>
      </c>
    </row>
    <row r="55" spans="1:5" ht="12.75">
      <c r="A55" s="48"/>
      <c r="B55" s="13"/>
      <c r="C55" s="19"/>
      <c r="D55" s="30" t="s">
        <v>1</v>
      </c>
      <c r="E55" s="62">
        <v>203133.36</v>
      </c>
    </row>
    <row r="56" spans="1:5" ht="12.75">
      <c r="A56" s="48" t="s">
        <v>143</v>
      </c>
      <c r="B56" s="13" t="s">
        <v>105</v>
      </c>
      <c r="C56" s="139" t="s">
        <v>64</v>
      </c>
      <c r="D56" s="30" t="s">
        <v>2</v>
      </c>
      <c r="E56" s="62">
        <v>0.224</v>
      </c>
    </row>
    <row r="57" spans="1:5" ht="12.75">
      <c r="A57" s="48"/>
      <c r="B57" s="24"/>
      <c r="C57" s="137"/>
      <c r="D57" s="30" t="s">
        <v>1</v>
      </c>
      <c r="E57" s="62">
        <v>123178.78</v>
      </c>
    </row>
    <row r="58" spans="1:5" ht="12.75">
      <c r="A58" s="48" t="s">
        <v>143</v>
      </c>
      <c r="B58" s="13" t="s">
        <v>106</v>
      </c>
      <c r="C58" s="139" t="s">
        <v>64</v>
      </c>
      <c r="D58" s="30" t="s">
        <v>2</v>
      </c>
      <c r="E58" s="62">
        <v>0.933</v>
      </c>
    </row>
    <row r="59" spans="1:5" ht="12.75">
      <c r="A59" s="48"/>
      <c r="B59" s="17"/>
      <c r="C59" s="139"/>
      <c r="D59" s="31" t="s">
        <v>1</v>
      </c>
      <c r="E59" s="64">
        <f>512242.26+5554.22</f>
        <v>517796.48</v>
      </c>
    </row>
    <row r="60" spans="1:5" ht="12.75">
      <c r="A60" s="48" t="s">
        <v>143</v>
      </c>
      <c r="B60" s="13" t="s">
        <v>107</v>
      </c>
      <c r="C60" s="139" t="s">
        <v>64</v>
      </c>
      <c r="D60" s="30" t="s">
        <v>2</v>
      </c>
      <c r="E60" s="62">
        <v>0.294</v>
      </c>
    </row>
    <row r="61" spans="1:5" ht="12.75">
      <c r="A61" s="48"/>
      <c r="B61" s="17"/>
      <c r="C61" s="17"/>
      <c r="D61" s="53" t="s">
        <v>1</v>
      </c>
      <c r="E61" s="62">
        <v>161643.14</v>
      </c>
    </row>
    <row r="62" spans="1:5" ht="12.75">
      <c r="A62" s="48" t="s">
        <v>143</v>
      </c>
      <c r="B62" s="17" t="s">
        <v>108</v>
      </c>
      <c r="C62" s="138" t="s">
        <v>114</v>
      </c>
      <c r="D62" s="53" t="s">
        <v>2</v>
      </c>
      <c r="E62" s="63">
        <f>0.217+0.231</f>
        <v>0.448</v>
      </c>
    </row>
    <row r="63" spans="1:5" ht="12.75">
      <c r="A63" s="48"/>
      <c r="B63" s="17"/>
      <c r="C63" s="139"/>
      <c r="D63" s="53" t="s">
        <v>1</v>
      </c>
      <c r="E63" s="62">
        <f>119144.09+126828.95</f>
        <v>245973.03999999998</v>
      </c>
    </row>
    <row r="64" spans="1:5" ht="12.75">
      <c r="A64" s="48" t="s">
        <v>143</v>
      </c>
      <c r="B64" s="13" t="s">
        <v>109</v>
      </c>
      <c r="C64" s="138" t="s">
        <v>114</v>
      </c>
      <c r="D64" s="54" t="s">
        <v>2</v>
      </c>
      <c r="E64" s="62">
        <v>0.353</v>
      </c>
    </row>
    <row r="65" spans="1:5" ht="12.75">
      <c r="A65" s="48"/>
      <c r="B65" s="13"/>
      <c r="C65" s="137"/>
      <c r="D65" s="54" t="s">
        <v>1</v>
      </c>
      <c r="E65" s="62">
        <v>193555.27</v>
      </c>
    </row>
    <row r="66" spans="1:5" ht="12.75">
      <c r="A66" s="48" t="s">
        <v>143</v>
      </c>
      <c r="B66" s="13" t="s">
        <v>110</v>
      </c>
      <c r="C66" s="138" t="s">
        <v>114</v>
      </c>
      <c r="D66" s="54" t="s">
        <v>2</v>
      </c>
      <c r="E66" s="62">
        <v>0.281</v>
      </c>
    </row>
    <row r="67" spans="1:5" ht="12.75">
      <c r="A67" s="48"/>
      <c r="B67" s="24"/>
      <c r="C67" s="12"/>
      <c r="D67" s="54" t="s">
        <v>1</v>
      </c>
      <c r="E67" s="62">
        <v>154102.54</v>
      </c>
    </row>
    <row r="68" spans="1:5" ht="12.75">
      <c r="A68" s="48" t="s">
        <v>143</v>
      </c>
      <c r="B68" s="13" t="s">
        <v>116</v>
      </c>
      <c r="C68" s="139" t="s">
        <v>64</v>
      </c>
      <c r="D68" s="54" t="s">
        <v>2</v>
      </c>
      <c r="E68" s="62">
        <v>0.312</v>
      </c>
    </row>
    <row r="69" spans="1:5" ht="12.75">
      <c r="A69" s="48"/>
      <c r="B69" s="24"/>
      <c r="C69" s="137"/>
      <c r="D69" s="53" t="s">
        <v>1</v>
      </c>
      <c r="E69" s="62">
        <v>172336.14</v>
      </c>
    </row>
    <row r="70" spans="1:5" ht="12.75">
      <c r="A70" s="48" t="s">
        <v>177</v>
      </c>
      <c r="B70" s="13" t="s">
        <v>120</v>
      </c>
      <c r="C70" s="139" t="s">
        <v>64</v>
      </c>
      <c r="D70" s="53" t="s">
        <v>2</v>
      </c>
      <c r="E70" s="62">
        <v>0.258</v>
      </c>
    </row>
    <row r="71" spans="1:5" ht="12.75">
      <c r="A71" s="48"/>
      <c r="B71" s="24"/>
      <c r="C71" s="139"/>
      <c r="D71" s="53" t="s">
        <v>1</v>
      </c>
      <c r="E71" s="62">
        <v>141826.91</v>
      </c>
    </row>
    <row r="72" spans="1:5" ht="12.75">
      <c r="A72" s="48" t="s">
        <v>177</v>
      </c>
      <c r="B72" s="13" t="s">
        <v>121</v>
      </c>
      <c r="C72" s="139" t="s">
        <v>64</v>
      </c>
      <c r="D72" s="54" t="s">
        <v>2</v>
      </c>
      <c r="E72" s="63">
        <v>0.298</v>
      </c>
    </row>
    <row r="73" spans="1:5" ht="12.75">
      <c r="A73" s="48"/>
      <c r="B73" s="13"/>
      <c r="C73" s="139"/>
      <c r="D73" s="54" t="s">
        <v>1</v>
      </c>
      <c r="E73" s="63">
        <v>163613.64</v>
      </c>
    </row>
    <row r="74" spans="1:5" ht="12.75">
      <c r="A74" s="48" t="s">
        <v>177</v>
      </c>
      <c r="B74" s="13" t="s">
        <v>122</v>
      </c>
      <c r="C74" s="139" t="s">
        <v>64</v>
      </c>
      <c r="D74" s="54" t="s">
        <v>2</v>
      </c>
      <c r="E74" s="65">
        <v>0.241</v>
      </c>
    </row>
    <row r="75" spans="1:5" ht="12.75">
      <c r="A75" s="48"/>
      <c r="B75" s="17"/>
      <c r="C75" s="139"/>
      <c r="D75" s="54" t="s">
        <v>1</v>
      </c>
      <c r="E75" s="65">
        <v>129823.06</v>
      </c>
    </row>
    <row r="76" spans="1:5" ht="12.75">
      <c r="A76" s="48" t="s">
        <v>177</v>
      </c>
      <c r="B76" s="25" t="s">
        <v>117</v>
      </c>
      <c r="C76" s="139" t="s">
        <v>64</v>
      </c>
      <c r="D76" s="54" t="s">
        <v>2</v>
      </c>
      <c r="E76" s="65">
        <v>0.272</v>
      </c>
    </row>
    <row r="77" spans="1:5" ht="12.75">
      <c r="A77" s="48"/>
      <c r="B77" s="17"/>
      <c r="C77" s="13"/>
      <c r="D77" s="53" t="s">
        <v>1</v>
      </c>
      <c r="E77" s="64">
        <v>165827.04</v>
      </c>
    </row>
    <row r="78" spans="1:6" ht="25.5">
      <c r="A78" s="85" t="s">
        <v>143</v>
      </c>
      <c r="B78" s="17" t="s">
        <v>190</v>
      </c>
      <c r="C78" s="139" t="s">
        <v>64</v>
      </c>
      <c r="D78" s="54" t="s">
        <v>2</v>
      </c>
      <c r="E78" s="83">
        <v>0.113</v>
      </c>
      <c r="F78" s="87"/>
    </row>
    <row r="79" spans="1:7" ht="12.75">
      <c r="A79" s="85"/>
      <c r="B79" s="17"/>
      <c r="C79" s="13"/>
      <c r="D79" s="54" t="s">
        <v>1</v>
      </c>
      <c r="E79" s="84">
        <v>62792.46</v>
      </c>
      <c r="F79" s="87"/>
      <c r="G79" s="82"/>
    </row>
    <row r="80" spans="1:6" ht="25.5">
      <c r="A80" s="85" t="s">
        <v>143</v>
      </c>
      <c r="B80" s="17" t="s">
        <v>188</v>
      </c>
      <c r="C80" s="139" t="s">
        <v>64</v>
      </c>
      <c r="D80" s="54" t="s">
        <v>2</v>
      </c>
      <c r="E80" s="77">
        <v>0.061</v>
      </c>
      <c r="F80" s="87"/>
    </row>
    <row r="81" spans="1:6" ht="12.75">
      <c r="A81" s="85"/>
      <c r="B81" s="17"/>
      <c r="C81" s="13"/>
      <c r="D81" s="54" t="s">
        <v>1</v>
      </c>
      <c r="E81" s="64">
        <v>33888.42</v>
      </c>
      <c r="F81" s="87"/>
    </row>
    <row r="82" spans="1:6" ht="25.5">
      <c r="A82" s="85" t="s">
        <v>143</v>
      </c>
      <c r="B82" s="17" t="s">
        <v>187</v>
      </c>
      <c r="C82" s="139" t="s">
        <v>64</v>
      </c>
      <c r="D82" s="54" t="s">
        <v>2</v>
      </c>
      <c r="E82" s="77">
        <v>0.165</v>
      </c>
      <c r="F82" s="87"/>
    </row>
    <row r="83" spans="1:6" ht="12.75">
      <c r="A83" s="85"/>
      <c r="B83" s="17"/>
      <c r="C83" s="13"/>
      <c r="D83" s="54" t="s">
        <v>1</v>
      </c>
      <c r="E83" s="64">
        <v>91081.94</v>
      </c>
      <c r="F83" s="87"/>
    </row>
    <row r="84" spans="1:6" ht="25.5">
      <c r="A84" s="85" t="s">
        <v>143</v>
      </c>
      <c r="B84" s="17" t="s">
        <v>189</v>
      </c>
      <c r="C84" s="139" t="s">
        <v>64</v>
      </c>
      <c r="D84" s="54" t="s">
        <v>2</v>
      </c>
      <c r="E84" s="77">
        <v>0.252</v>
      </c>
      <c r="F84" s="87"/>
    </row>
    <row r="85" spans="1:6" ht="12.75">
      <c r="A85" s="86"/>
      <c r="B85" s="17"/>
      <c r="C85" s="13"/>
      <c r="D85" s="54" t="s">
        <v>1</v>
      </c>
      <c r="E85" s="64">
        <v>140018.36</v>
      </c>
      <c r="F85" s="87"/>
    </row>
    <row r="86" spans="1:7" ht="12.75">
      <c r="A86" s="55"/>
      <c r="B86" s="56"/>
      <c r="C86" s="56"/>
      <c r="D86" s="57" t="s">
        <v>2</v>
      </c>
      <c r="E86" s="91">
        <f>E24+E26+E28+E30+E32+E34+E36+E38+E40+E42+E44+E46+E48+E50+E52+E54+E56+E58+E60+E62+E64+E66+E68+E70+E72+E74+E76+E78+E80+E82+E84</f>
        <v>12.392999999999999</v>
      </c>
      <c r="F86" s="119">
        <f>E86+E160</f>
        <v>16.04</v>
      </c>
      <c r="G86" s="141" t="e">
        <f>#REF!</f>
        <v>#REF!</v>
      </c>
    </row>
    <row r="87" spans="1:8" ht="12.75">
      <c r="A87" s="55"/>
      <c r="B87" s="56"/>
      <c r="C87" s="56"/>
      <c r="D87" s="57" t="s">
        <v>1</v>
      </c>
      <c r="E87" s="67">
        <f>(E25+E27+E29+E31+E33+E35+E37+E39+E41+E43+E45+E47+E49+E51+E53+E55+E57+E59+E61+E63+E65+E67+E69+E71+E73+E75+E77+E79+E81+E83+E85)/1000</f>
        <v>6547.271039999999</v>
      </c>
      <c r="F87" s="119">
        <f>E87+E161</f>
        <v>8717.64811</v>
      </c>
      <c r="G87" s="141" t="e">
        <f>#REF!*1000</f>
        <v>#REF!</v>
      </c>
      <c r="H87" s="82" t="e">
        <f>F87-G87</f>
        <v>#REF!</v>
      </c>
    </row>
    <row r="88" spans="1:5" ht="13.5" customHeight="1">
      <c r="A88" s="48" t="s">
        <v>115</v>
      </c>
      <c r="B88" s="12" t="s">
        <v>14</v>
      </c>
      <c r="C88" s="19" t="s">
        <v>15</v>
      </c>
      <c r="D88" s="30" t="s">
        <v>2</v>
      </c>
      <c r="E88" s="62">
        <f>0.039+0.09</f>
        <v>0.129</v>
      </c>
    </row>
    <row r="89" spans="1:5" ht="12.75">
      <c r="A89" s="48"/>
      <c r="B89" s="12"/>
      <c r="C89" s="19"/>
      <c r="D89" s="30" t="s">
        <v>1</v>
      </c>
      <c r="E89" s="62">
        <v>69278.48</v>
      </c>
    </row>
    <row r="90" spans="1:5" ht="12.75">
      <c r="A90" s="48" t="s">
        <v>115</v>
      </c>
      <c r="B90" s="12" t="s">
        <v>16</v>
      </c>
      <c r="C90" s="19" t="s">
        <v>15</v>
      </c>
      <c r="D90" s="30" t="s">
        <v>2</v>
      </c>
      <c r="E90" s="62">
        <f>0.039+0.09</f>
        <v>0.129</v>
      </c>
    </row>
    <row r="91" spans="1:5" ht="12.75">
      <c r="A91" s="48"/>
      <c r="B91" s="12"/>
      <c r="C91" s="19"/>
      <c r="D91" s="30" t="s">
        <v>1</v>
      </c>
      <c r="E91" s="62">
        <v>69636.08</v>
      </c>
    </row>
    <row r="92" spans="1:5" ht="12.75">
      <c r="A92" s="48" t="s">
        <v>115</v>
      </c>
      <c r="B92" s="12" t="s">
        <v>17</v>
      </c>
      <c r="C92" s="19" t="s">
        <v>15</v>
      </c>
      <c r="D92" s="30" t="s">
        <v>2</v>
      </c>
      <c r="E92" s="62">
        <f>0.039+0.09</f>
        <v>0.129</v>
      </c>
    </row>
    <row r="93" spans="1:5" ht="12.75">
      <c r="A93" s="48"/>
      <c r="B93" s="12"/>
      <c r="C93" s="19"/>
      <c r="D93" s="30" t="s">
        <v>1</v>
      </c>
      <c r="E93" s="62">
        <v>69278.48</v>
      </c>
    </row>
    <row r="94" spans="1:5" ht="12.75">
      <c r="A94" s="48" t="s">
        <v>115</v>
      </c>
      <c r="B94" s="12" t="s">
        <v>18</v>
      </c>
      <c r="C94" s="19" t="s">
        <v>15</v>
      </c>
      <c r="D94" s="30" t="s">
        <v>2</v>
      </c>
      <c r="E94" s="62">
        <f>0.039+0.09</f>
        <v>0.129</v>
      </c>
    </row>
    <row r="95" spans="1:5" ht="12.75">
      <c r="A95" s="48"/>
      <c r="B95" s="12"/>
      <c r="C95" s="19"/>
      <c r="D95" s="30" t="s">
        <v>1</v>
      </c>
      <c r="E95" s="62">
        <v>69278.48</v>
      </c>
    </row>
    <row r="96" spans="1:5" ht="12.75">
      <c r="A96" s="48" t="s">
        <v>115</v>
      </c>
      <c r="B96" s="12" t="s">
        <v>19</v>
      </c>
      <c r="C96" s="19" t="s">
        <v>20</v>
      </c>
      <c r="D96" s="30" t="s">
        <v>2</v>
      </c>
      <c r="E96" s="62">
        <v>0.104</v>
      </c>
    </row>
    <row r="97" spans="1:5" ht="12.75">
      <c r="A97" s="49"/>
      <c r="B97" s="12"/>
      <c r="C97" s="19"/>
      <c r="D97" s="30" t="s">
        <v>1</v>
      </c>
      <c r="E97" s="62">
        <v>56259.23</v>
      </c>
    </row>
    <row r="98" spans="1:5" ht="12.75">
      <c r="A98" s="48" t="s">
        <v>115</v>
      </c>
      <c r="B98" s="12" t="s">
        <v>21</v>
      </c>
      <c r="C98" s="19" t="s">
        <v>15</v>
      </c>
      <c r="D98" s="30" t="s">
        <v>2</v>
      </c>
      <c r="E98" s="62">
        <f>0.039+0.09</f>
        <v>0.129</v>
      </c>
    </row>
    <row r="99" spans="1:5" ht="12.75">
      <c r="A99" s="37"/>
      <c r="B99" s="12"/>
      <c r="C99" s="12"/>
      <c r="D99" s="30" t="s">
        <v>1</v>
      </c>
      <c r="E99" s="62">
        <v>69636.08</v>
      </c>
    </row>
    <row r="100" spans="1:5" ht="12.75">
      <c r="A100" s="48" t="s">
        <v>115</v>
      </c>
      <c r="B100" s="12" t="s">
        <v>23</v>
      </c>
      <c r="C100" s="19" t="s">
        <v>218</v>
      </c>
      <c r="D100" s="30" t="s">
        <v>2</v>
      </c>
      <c r="E100" s="62">
        <v>0.141</v>
      </c>
    </row>
    <row r="101" spans="1:5" ht="12.75">
      <c r="A101" s="48"/>
      <c r="B101" s="12"/>
      <c r="C101" s="19"/>
      <c r="D101" s="30" t="s">
        <v>1</v>
      </c>
      <c r="E101" s="62">
        <v>51880</v>
      </c>
    </row>
    <row r="102" spans="1:5" ht="12.75">
      <c r="A102" s="48" t="s">
        <v>115</v>
      </c>
      <c r="B102" s="12" t="s">
        <v>10</v>
      </c>
      <c r="C102" s="19" t="s">
        <v>24</v>
      </c>
      <c r="D102" s="30" t="s">
        <v>2</v>
      </c>
      <c r="E102" s="62">
        <v>0.054</v>
      </c>
    </row>
    <row r="103" spans="1:5" ht="12.75">
      <c r="A103" s="48"/>
      <c r="B103" s="12"/>
      <c r="C103" s="16"/>
      <c r="D103" s="30" t="s">
        <v>1</v>
      </c>
      <c r="E103" s="62">
        <v>32191.57</v>
      </c>
    </row>
    <row r="104" spans="1:5" ht="12.75">
      <c r="A104" s="48" t="s">
        <v>115</v>
      </c>
      <c r="B104" s="16" t="s">
        <v>32</v>
      </c>
      <c r="C104" s="19" t="s">
        <v>24</v>
      </c>
      <c r="D104" s="30" t="s">
        <v>2</v>
      </c>
      <c r="E104" s="62">
        <v>0.101</v>
      </c>
    </row>
    <row r="105" spans="1:5" ht="12.75">
      <c r="A105" s="48"/>
      <c r="B105" s="16"/>
      <c r="C105" s="16"/>
      <c r="D105" s="30" t="s">
        <v>1</v>
      </c>
      <c r="E105" s="62">
        <v>60385.05</v>
      </c>
    </row>
    <row r="106" spans="1:5" ht="12.75">
      <c r="A106" s="48" t="s">
        <v>115</v>
      </c>
      <c r="B106" s="16" t="s">
        <v>33</v>
      </c>
      <c r="C106" s="19" t="s">
        <v>24</v>
      </c>
      <c r="D106" s="30" t="s">
        <v>2</v>
      </c>
      <c r="E106" s="62">
        <v>0.101</v>
      </c>
    </row>
    <row r="107" spans="1:5" ht="12.75">
      <c r="A107" s="48"/>
      <c r="B107" s="16"/>
      <c r="C107" s="137"/>
      <c r="D107" s="30" t="s">
        <v>1</v>
      </c>
      <c r="E107" s="62">
        <v>60385.05</v>
      </c>
    </row>
    <row r="108" spans="1:5" ht="12.75">
      <c r="A108" s="48" t="s">
        <v>115</v>
      </c>
      <c r="B108" s="16" t="s">
        <v>34</v>
      </c>
      <c r="C108" s="19" t="s">
        <v>24</v>
      </c>
      <c r="D108" s="30" t="s">
        <v>2</v>
      </c>
      <c r="E108" s="62">
        <v>0.101</v>
      </c>
    </row>
    <row r="109" spans="1:5" ht="12.75">
      <c r="A109" s="48"/>
      <c r="B109" s="16"/>
      <c r="C109" s="19"/>
      <c r="D109" s="30" t="s">
        <v>1</v>
      </c>
      <c r="E109" s="62">
        <v>60385.05</v>
      </c>
    </row>
    <row r="110" spans="1:5" ht="12.75">
      <c r="A110" s="48" t="s">
        <v>115</v>
      </c>
      <c r="B110" s="16" t="s">
        <v>35</v>
      </c>
      <c r="C110" s="19" t="s">
        <v>24</v>
      </c>
      <c r="D110" s="31" t="s">
        <v>2</v>
      </c>
      <c r="E110" s="62">
        <v>0.09</v>
      </c>
    </row>
    <row r="111" spans="1:5" ht="12.75">
      <c r="A111" s="37"/>
      <c r="B111" s="16"/>
      <c r="C111" s="19"/>
      <c r="D111" s="31" t="s">
        <v>1</v>
      </c>
      <c r="E111" s="62">
        <v>54631.22</v>
      </c>
    </row>
    <row r="112" spans="1:5" ht="12.75">
      <c r="A112" s="48" t="s">
        <v>115</v>
      </c>
      <c r="B112" s="16" t="s">
        <v>36</v>
      </c>
      <c r="C112" s="19" t="s">
        <v>24</v>
      </c>
      <c r="D112" s="31" t="s">
        <v>2</v>
      </c>
      <c r="E112" s="62">
        <v>0.09</v>
      </c>
    </row>
    <row r="113" spans="1:5" ht="12.75">
      <c r="A113" s="48"/>
      <c r="B113" s="16"/>
      <c r="C113" s="16"/>
      <c r="D113" s="31" t="s">
        <v>1</v>
      </c>
      <c r="E113" s="62">
        <v>54631.22</v>
      </c>
    </row>
    <row r="114" spans="1:5" ht="12.75">
      <c r="A114" s="48" t="s">
        <v>115</v>
      </c>
      <c r="B114" s="16" t="s">
        <v>37</v>
      </c>
      <c r="C114" s="19" t="s">
        <v>24</v>
      </c>
      <c r="D114" s="31" t="s">
        <v>2</v>
      </c>
      <c r="E114" s="62">
        <v>0.101</v>
      </c>
    </row>
    <row r="115" spans="1:5" ht="12.75">
      <c r="A115" s="48"/>
      <c r="B115" s="16"/>
      <c r="C115" s="137"/>
      <c r="D115" s="31" t="s">
        <v>1</v>
      </c>
      <c r="E115" s="62">
        <v>63768.79</v>
      </c>
    </row>
    <row r="116" spans="1:5" ht="12.75">
      <c r="A116" s="48" t="s">
        <v>115</v>
      </c>
      <c r="B116" s="16" t="s">
        <v>38</v>
      </c>
      <c r="C116" s="19" t="s">
        <v>24</v>
      </c>
      <c r="D116" s="30" t="s">
        <v>2</v>
      </c>
      <c r="E116" s="62">
        <v>0.101</v>
      </c>
    </row>
    <row r="117" spans="1:5" ht="12.75">
      <c r="A117" s="48"/>
      <c r="B117" s="16"/>
      <c r="C117" s="137"/>
      <c r="D117" s="30" t="s">
        <v>1</v>
      </c>
      <c r="E117" s="62">
        <v>63768.79</v>
      </c>
    </row>
    <row r="118" spans="1:5" ht="12.75">
      <c r="A118" s="48" t="s">
        <v>115</v>
      </c>
      <c r="B118" s="16" t="s">
        <v>39</v>
      </c>
      <c r="C118" s="19" t="s">
        <v>24</v>
      </c>
      <c r="D118" s="30" t="s">
        <v>2</v>
      </c>
      <c r="E118" s="62">
        <v>0.101</v>
      </c>
    </row>
    <row r="119" spans="1:5" ht="12.75">
      <c r="A119" s="48"/>
      <c r="B119" s="16"/>
      <c r="C119" s="137"/>
      <c r="D119" s="30" t="s">
        <v>1</v>
      </c>
      <c r="E119" s="62">
        <v>63768.79</v>
      </c>
    </row>
    <row r="120" spans="1:5" ht="12.75">
      <c r="A120" s="48" t="s">
        <v>115</v>
      </c>
      <c r="B120" s="12" t="s">
        <v>23</v>
      </c>
      <c r="C120" s="19" t="s">
        <v>24</v>
      </c>
      <c r="D120" s="30" t="s">
        <v>2</v>
      </c>
      <c r="E120" s="62">
        <v>0.054</v>
      </c>
    </row>
    <row r="121" spans="1:5" ht="12.75">
      <c r="A121" s="48"/>
      <c r="B121" s="12"/>
      <c r="C121" s="19"/>
      <c r="D121" s="30" t="s">
        <v>1</v>
      </c>
      <c r="E121" s="62">
        <v>32191.57</v>
      </c>
    </row>
    <row r="122" spans="1:5" ht="12.75">
      <c r="A122" s="48" t="s">
        <v>115</v>
      </c>
      <c r="B122" s="12" t="s">
        <v>45</v>
      </c>
      <c r="C122" s="19" t="s">
        <v>24</v>
      </c>
      <c r="D122" s="30" t="s">
        <v>2</v>
      </c>
      <c r="E122" s="62">
        <v>0.101</v>
      </c>
    </row>
    <row r="123" spans="1:5" ht="12.75">
      <c r="A123" s="48"/>
      <c r="B123" s="13"/>
      <c r="C123" s="137"/>
      <c r="D123" s="30" t="s">
        <v>1</v>
      </c>
      <c r="E123" s="62">
        <v>60385.05</v>
      </c>
    </row>
    <row r="124" spans="1:5" ht="12.75">
      <c r="A124" s="48" t="s">
        <v>115</v>
      </c>
      <c r="B124" s="12" t="s">
        <v>46</v>
      </c>
      <c r="C124" s="19" t="s">
        <v>24</v>
      </c>
      <c r="D124" s="30" t="s">
        <v>2</v>
      </c>
      <c r="E124" s="62">
        <v>0.101</v>
      </c>
    </row>
    <row r="125" spans="1:5" ht="12.75">
      <c r="A125" s="48"/>
      <c r="B125" s="13"/>
      <c r="C125" s="137"/>
      <c r="D125" s="30" t="s">
        <v>1</v>
      </c>
      <c r="E125" s="62">
        <v>60385.05</v>
      </c>
    </row>
    <row r="126" spans="1:5" ht="12.75">
      <c r="A126" s="48" t="s">
        <v>115</v>
      </c>
      <c r="B126" s="12" t="s">
        <v>47</v>
      </c>
      <c r="C126" s="19" t="s">
        <v>24</v>
      </c>
      <c r="D126" s="30" t="s">
        <v>2</v>
      </c>
      <c r="E126" s="62">
        <v>0.101</v>
      </c>
    </row>
    <row r="127" spans="1:5" ht="12.75">
      <c r="A127" s="37"/>
      <c r="B127" s="13"/>
      <c r="C127" s="139"/>
      <c r="D127" s="30" t="s">
        <v>1</v>
      </c>
      <c r="E127" s="62">
        <v>60385.05</v>
      </c>
    </row>
    <row r="128" spans="1:5" ht="12.75">
      <c r="A128" s="48" t="s">
        <v>115</v>
      </c>
      <c r="B128" s="12" t="s">
        <v>48</v>
      </c>
      <c r="C128" s="19" t="s">
        <v>24</v>
      </c>
      <c r="D128" s="30" t="s">
        <v>2</v>
      </c>
      <c r="E128" s="62">
        <v>0.101</v>
      </c>
    </row>
    <row r="129" spans="1:5" ht="12.75">
      <c r="A129" s="48"/>
      <c r="B129" s="13"/>
      <c r="C129" s="137"/>
      <c r="D129" s="30" t="s">
        <v>1</v>
      </c>
      <c r="E129" s="62">
        <v>60385.05</v>
      </c>
    </row>
    <row r="130" spans="1:5" ht="12.75">
      <c r="A130" s="48" t="s">
        <v>115</v>
      </c>
      <c r="B130" s="13" t="s">
        <v>49</v>
      </c>
      <c r="C130" s="19" t="s">
        <v>24</v>
      </c>
      <c r="D130" s="30" t="s">
        <v>2</v>
      </c>
      <c r="E130" s="62">
        <v>0.101</v>
      </c>
    </row>
    <row r="131" spans="1:5" ht="12.75">
      <c r="A131" s="48"/>
      <c r="B131" s="13"/>
      <c r="C131" s="137"/>
      <c r="D131" s="30" t="s">
        <v>1</v>
      </c>
      <c r="E131" s="62">
        <v>60385.05</v>
      </c>
    </row>
    <row r="132" spans="1:5" ht="12.75">
      <c r="A132" s="48" t="s">
        <v>115</v>
      </c>
      <c r="B132" s="13" t="s">
        <v>50</v>
      </c>
      <c r="C132" s="19" t="s">
        <v>24</v>
      </c>
      <c r="D132" s="30" t="s">
        <v>2</v>
      </c>
      <c r="E132" s="62">
        <v>0.102</v>
      </c>
    </row>
    <row r="133" spans="1:5" ht="12.75">
      <c r="A133" s="48"/>
      <c r="B133" s="13"/>
      <c r="C133" s="139"/>
      <c r="D133" s="30" t="s">
        <v>1</v>
      </c>
      <c r="E133" s="62">
        <v>60908.31</v>
      </c>
    </row>
    <row r="134" spans="1:5" ht="12.75">
      <c r="A134" s="48" t="s">
        <v>115</v>
      </c>
      <c r="B134" s="12" t="s">
        <v>51</v>
      </c>
      <c r="C134" s="19" t="s">
        <v>24</v>
      </c>
      <c r="D134" s="30" t="s">
        <v>2</v>
      </c>
      <c r="E134" s="62">
        <v>0.101</v>
      </c>
    </row>
    <row r="135" spans="1:5" ht="12.75">
      <c r="A135" s="48"/>
      <c r="B135" s="13"/>
      <c r="C135" s="137"/>
      <c r="D135" s="30" t="s">
        <v>1</v>
      </c>
      <c r="E135" s="62">
        <v>63768.79</v>
      </c>
    </row>
    <row r="136" spans="1:5" ht="12.75">
      <c r="A136" s="48" t="s">
        <v>115</v>
      </c>
      <c r="B136" s="12" t="s">
        <v>52</v>
      </c>
      <c r="C136" s="19" t="s">
        <v>24</v>
      </c>
      <c r="D136" s="30" t="s">
        <v>2</v>
      </c>
      <c r="E136" s="62">
        <v>0.09</v>
      </c>
    </row>
    <row r="137" spans="1:5" ht="12.75">
      <c r="A137" s="48"/>
      <c r="B137" s="13"/>
      <c r="C137" s="137"/>
      <c r="D137" s="30" t="s">
        <v>1</v>
      </c>
      <c r="E137" s="62">
        <v>57723.84</v>
      </c>
    </row>
    <row r="138" spans="1:5" ht="12.75">
      <c r="A138" s="48" t="s">
        <v>115</v>
      </c>
      <c r="B138" s="12" t="s">
        <v>53</v>
      </c>
      <c r="C138" s="19" t="s">
        <v>24</v>
      </c>
      <c r="D138" s="30" t="s">
        <v>2</v>
      </c>
      <c r="E138" s="62">
        <v>0.09</v>
      </c>
    </row>
    <row r="139" spans="1:5" ht="12.75">
      <c r="A139" s="48"/>
      <c r="B139" s="13"/>
      <c r="C139" s="13"/>
      <c r="D139" s="30" t="s">
        <v>1</v>
      </c>
      <c r="E139" s="62">
        <v>57723.84</v>
      </c>
    </row>
    <row r="140" spans="1:5" ht="12.75">
      <c r="A140" s="48" t="s">
        <v>115</v>
      </c>
      <c r="B140" s="13" t="s">
        <v>54</v>
      </c>
      <c r="C140" s="19" t="s">
        <v>24</v>
      </c>
      <c r="D140" s="30" t="s">
        <v>2</v>
      </c>
      <c r="E140" s="62">
        <v>0.101</v>
      </c>
    </row>
    <row r="141" spans="1:5" ht="12.75">
      <c r="A141" s="37"/>
      <c r="B141" s="13"/>
      <c r="C141" s="16"/>
      <c r="D141" s="30" t="s">
        <v>1</v>
      </c>
      <c r="E141" s="62">
        <v>63768.79</v>
      </c>
    </row>
    <row r="142" spans="1:5" ht="12.75">
      <c r="A142" s="48" t="s">
        <v>115</v>
      </c>
      <c r="B142" s="13" t="s">
        <v>128</v>
      </c>
      <c r="C142" s="19" t="s">
        <v>24</v>
      </c>
      <c r="D142" s="30" t="s">
        <v>2</v>
      </c>
      <c r="E142" s="62">
        <v>0.101</v>
      </c>
    </row>
    <row r="143" spans="1:5" ht="12.75">
      <c r="A143" s="37"/>
      <c r="B143" s="13"/>
      <c r="C143" s="137"/>
      <c r="D143" s="30" t="s">
        <v>1</v>
      </c>
      <c r="E143" s="62">
        <v>63768.79</v>
      </c>
    </row>
    <row r="144" spans="1:5" ht="12.75">
      <c r="A144" s="48" t="s">
        <v>115</v>
      </c>
      <c r="B144" s="13" t="s">
        <v>127</v>
      </c>
      <c r="C144" s="19" t="s">
        <v>24</v>
      </c>
      <c r="D144" s="30" t="s">
        <v>2</v>
      </c>
      <c r="E144" s="62">
        <v>0.101</v>
      </c>
    </row>
    <row r="145" spans="1:5" ht="12.75">
      <c r="A145" s="37"/>
      <c r="B145" s="13"/>
      <c r="C145" s="16"/>
      <c r="D145" s="30" t="s">
        <v>1</v>
      </c>
      <c r="E145" s="62">
        <v>63768.79</v>
      </c>
    </row>
    <row r="146" spans="1:8" ht="12.75">
      <c r="A146" s="48" t="s">
        <v>115</v>
      </c>
      <c r="B146" s="13" t="s">
        <v>55</v>
      </c>
      <c r="C146" s="19" t="s">
        <v>24</v>
      </c>
      <c r="D146" s="30" t="s">
        <v>2</v>
      </c>
      <c r="E146" s="62">
        <v>0.101</v>
      </c>
      <c r="F146" s="87"/>
      <c r="G146" s="87"/>
      <c r="H146" s="87"/>
    </row>
    <row r="147" spans="1:8" ht="12.75">
      <c r="A147" s="48"/>
      <c r="B147" s="13"/>
      <c r="C147" s="137"/>
      <c r="D147" s="30" t="s">
        <v>1</v>
      </c>
      <c r="E147" s="62">
        <v>63768.79</v>
      </c>
      <c r="F147" s="87"/>
      <c r="G147" s="87"/>
      <c r="H147" s="87"/>
    </row>
    <row r="148" spans="1:8" ht="12.75">
      <c r="A148" s="48" t="s">
        <v>115</v>
      </c>
      <c r="B148" s="13" t="s">
        <v>56</v>
      </c>
      <c r="C148" s="19" t="s">
        <v>24</v>
      </c>
      <c r="D148" s="30" t="s">
        <v>2</v>
      </c>
      <c r="E148" s="62">
        <v>0.101</v>
      </c>
      <c r="F148" s="87"/>
      <c r="G148" s="87"/>
      <c r="H148" s="87"/>
    </row>
    <row r="149" spans="1:8" ht="12.75">
      <c r="A149" s="48"/>
      <c r="B149" s="13"/>
      <c r="C149" s="139"/>
      <c r="D149" s="30" t="s">
        <v>1</v>
      </c>
      <c r="E149" s="62">
        <v>63768.79</v>
      </c>
      <c r="F149" s="87"/>
      <c r="G149" s="87"/>
      <c r="H149" s="87"/>
    </row>
    <row r="150" spans="1:8" ht="12.75">
      <c r="A150" s="48" t="s">
        <v>115</v>
      </c>
      <c r="B150" s="24" t="s">
        <v>63</v>
      </c>
      <c r="C150" s="19" t="s">
        <v>24</v>
      </c>
      <c r="D150" s="30" t="s">
        <v>2</v>
      </c>
      <c r="E150" s="62">
        <v>0.101</v>
      </c>
      <c r="F150" s="87"/>
      <c r="G150" s="87"/>
      <c r="H150" s="87"/>
    </row>
    <row r="151" spans="1:8" ht="12.75">
      <c r="A151" s="48"/>
      <c r="B151" s="24"/>
      <c r="C151" s="139"/>
      <c r="D151" s="30" t="s">
        <v>1</v>
      </c>
      <c r="E151" s="62">
        <v>66551.52</v>
      </c>
      <c r="F151" s="87"/>
      <c r="G151" s="87"/>
      <c r="H151" s="87"/>
    </row>
    <row r="152" spans="1:8" ht="12.75">
      <c r="A152" s="48" t="s">
        <v>115</v>
      </c>
      <c r="B152" s="24" t="s">
        <v>65</v>
      </c>
      <c r="C152" s="19" t="s">
        <v>24</v>
      </c>
      <c r="D152" s="30" t="s">
        <v>2</v>
      </c>
      <c r="E152" s="62">
        <v>0.101</v>
      </c>
      <c r="F152" s="87"/>
      <c r="G152" s="87"/>
      <c r="H152" s="87"/>
    </row>
    <row r="153" spans="1:8" ht="12.75">
      <c r="A153" s="48"/>
      <c r="B153" s="24"/>
      <c r="C153" s="139"/>
      <c r="D153" s="30" t="s">
        <v>1</v>
      </c>
      <c r="E153" s="62">
        <v>66551.52</v>
      </c>
      <c r="F153" s="87"/>
      <c r="G153" s="87"/>
      <c r="H153" s="87"/>
    </row>
    <row r="154" spans="1:8" ht="12.75">
      <c r="A154" s="48" t="s">
        <v>115</v>
      </c>
      <c r="B154" s="24" t="s">
        <v>66</v>
      </c>
      <c r="C154" s="19" t="s">
        <v>24</v>
      </c>
      <c r="D154" s="30" t="s">
        <v>2</v>
      </c>
      <c r="E154" s="62">
        <v>0.101</v>
      </c>
      <c r="F154" s="87"/>
      <c r="G154" s="87"/>
      <c r="H154" s="87"/>
    </row>
    <row r="155" spans="1:8" ht="12.75">
      <c r="A155" s="48"/>
      <c r="B155" s="24"/>
      <c r="C155" s="139"/>
      <c r="D155" s="30" t="s">
        <v>1</v>
      </c>
      <c r="E155" s="62">
        <v>66551.52</v>
      </c>
      <c r="F155" s="87"/>
      <c r="G155" s="87"/>
      <c r="H155" s="87"/>
    </row>
    <row r="156" spans="1:8" ht="12.75">
      <c r="A156" s="48" t="s">
        <v>115</v>
      </c>
      <c r="B156" s="24" t="s">
        <v>67</v>
      </c>
      <c r="C156" s="19" t="s">
        <v>24</v>
      </c>
      <c r="D156" s="30" t="s">
        <v>2</v>
      </c>
      <c r="E156" s="62">
        <v>0.101</v>
      </c>
      <c r="F156" s="87"/>
      <c r="G156" s="87"/>
      <c r="H156" s="87"/>
    </row>
    <row r="157" spans="1:8" ht="12.75">
      <c r="A157" s="48"/>
      <c r="B157" s="24"/>
      <c r="C157" s="139"/>
      <c r="D157" s="30" t="s">
        <v>1</v>
      </c>
      <c r="E157" s="62">
        <v>66551.52</v>
      </c>
      <c r="F157" s="87"/>
      <c r="G157" s="87"/>
      <c r="H157" s="87"/>
    </row>
    <row r="158" spans="1:8" ht="12.75">
      <c r="A158" s="48" t="s">
        <v>143</v>
      </c>
      <c r="B158" s="25" t="s">
        <v>117</v>
      </c>
      <c r="C158" s="139" t="s">
        <v>118</v>
      </c>
      <c r="D158" s="54" t="s">
        <v>2</v>
      </c>
      <c r="E158" s="62">
        <v>0.066</v>
      </c>
      <c r="F158" s="87"/>
      <c r="G158" s="87"/>
      <c r="H158" s="87"/>
    </row>
    <row r="159" spans="1:8" ht="12.75">
      <c r="A159" s="48"/>
      <c r="B159" s="24"/>
      <c r="C159" s="13"/>
      <c r="D159" s="53" t="s">
        <v>1</v>
      </c>
      <c r="E159" s="62">
        <v>41923.08</v>
      </c>
      <c r="F159" s="87"/>
      <c r="G159" s="87"/>
      <c r="H159" s="87"/>
    </row>
    <row r="160" spans="1:8" ht="12.75">
      <c r="A160" s="50"/>
      <c r="B160" s="92"/>
      <c r="C160" s="93"/>
      <c r="D160" s="94"/>
      <c r="E160" s="97">
        <f>E88+E90+E92+E94+E96+E98+E100+E120+E102+E104+E106+E108+E110+E112+E114+E116+E118+E122+E124+E126+E128+E130+E132+E134+E136+E138+E140+E142+E144+E146+E148+E150+E152+E154+E156+E158</f>
        <v>3.6469999999999994</v>
      </c>
      <c r="F160" s="87"/>
      <c r="G160" s="113">
        <f>E160+E86++E21</f>
        <v>17.422</v>
      </c>
      <c r="H160" s="87"/>
    </row>
    <row r="161" spans="1:8" ht="12.75">
      <c r="A161" s="50"/>
      <c r="B161" s="92"/>
      <c r="C161" s="93"/>
      <c r="D161" s="94"/>
      <c r="E161" s="97">
        <f>(E89+E91+E93+E95+E97+E99+E101+E121+E103+E105+E107+E109+E111+E113+E115+E117+E119+E123+E125+E127+E129+E131+E133+E135+E137+E139+E141+E143+E145+E147+E149+E151+E153+E155+E157+E159)/1000</f>
        <v>2170.377070000001</v>
      </c>
      <c r="F161" s="87"/>
      <c r="G161" s="112">
        <f>E161+E87++E22</f>
        <v>9717.11686</v>
      </c>
      <c r="H161" s="87"/>
    </row>
    <row r="162" spans="1:8" ht="12.75">
      <c r="A162" s="48"/>
      <c r="B162" s="74"/>
      <c r="C162" s="13"/>
      <c r="D162" s="54"/>
      <c r="E162" s="62"/>
      <c r="F162" s="87"/>
      <c r="G162" s="87"/>
      <c r="H162" s="87"/>
    </row>
    <row r="163" spans="1:8" ht="25.5">
      <c r="A163" s="37" t="s">
        <v>115</v>
      </c>
      <c r="B163" s="75" t="s">
        <v>133</v>
      </c>
      <c r="C163" s="17" t="s">
        <v>132</v>
      </c>
      <c r="D163" s="53" t="s">
        <v>1</v>
      </c>
      <c r="E163" s="63">
        <v>15187.28</v>
      </c>
      <c r="F163" s="87"/>
      <c r="G163" s="87"/>
      <c r="H163" s="87"/>
    </row>
    <row r="164" spans="1:8" ht="12.75">
      <c r="A164" s="48"/>
      <c r="B164" s="74"/>
      <c r="C164" s="13"/>
      <c r="D164" s="53" t="s">
        <v>1</v>
      </c>
      <c r="E164" s="62"/>
      <c r="F164" s="87"/>
      <c r="G164" s="87"/>
      <c r="H164" s="87"/>
    </row>
    <row r="165" spans="1:8" ht="38.25">
      <c r="A165" s="37" t="s">
        <v>143</v>
      </c>
      <c r="B165" s="75" t="s">
        <v>166</v>
      </c>
      <c r="C165" s="17" t="s">
        <v>183</v>
      </c>
      <c r="D165" s="53" t="s">
        <v>1</v>
      </c>
      <c r="E165" s="63">
        <v>16369.79</v>
      </c>
      <c r="F165" s="87"/>
      <c r="G165" s="87"/>
      <c r="H165" s="87"/>
    </row>
    <row r="166" spans="1:8" ht="12.75">
      <c r="A166" s="48"/>
      <c r="B166" s="74"/>
      <c r="C166" s="17"/>
      <c r="D166" s="53" t="s">
        <v>1</v>
      </c>
      <c r="E166" s="62"/>
      <c r="F166" s="87"/>
      <c r="G166" s="87"/>
      <c r="H166" s="87"/>
    </row>
    <row r="167" spans="1:8" ht="38.25">
      <c r="A167" s="37" t="s">
        <v>143</v>
      </c>
      <c r="B167" s="75" t="s">
        <v>182</v>
      </c>
      <c r="C167" s="17" t="s">
        <v>183</v>
      </c>
      <c r="D167" s="53" t="s">
        <v>1</v>
      </c>
      <c r="E167" s="62">
        <v>9637.92</v>
      </c>
      <c r="F167" s="87"/>
      <c r="G167" s="87"/>
      <c r="H167" s="87"/>
    </row>
    <row r="168" spans="1:8" ht="12.75">
      <c r="A168" s="48"/>
      <c r="B168" s="74"/>
      <c r="C168" s="13"/>
      <c r="D168" s="53" t="s">
        <v>1</v>
      </c>
      <c r="E168" s="62"/>
      <c r="F168" s="87"/>
      <c r="G168" s="87"/>
      <c r="H168" s="87"/>
    </row>
    <row r="169" spans="1:8" ht="25.5">
      <c r="A169" s="37" t="s">
        <v>143</v>
      </c>
      <c r="B169" s="75" t="s">
        <v>204</v>
      </c>
      <c r="C169" s="17" t="s">
        <v>183</v>
      </c>
      <c r="D169" s="53" t="s">
        <v>1</v>
      </c>
      <c r="E169" s="62">
        <v>1917.89</v>
      </c>
      <c r="F169" s="87"/>
      <c r="G169" s="87"/>
      <c r="H169" s="87"/>
    </row>
    <row r="170" spans="1:8" ht="12.75">
      <c r="A170" s="50"/>
      <c r="B170" s="92"/>
      <c r="C170" s="93"/>
      <c r="D170" s="98"/>
      <c r="E170" s="96">
        <f>SUM(E163:E169)</f>
        <v>43112.88</v>
      </c>
      <c r="F170" s="87"/>
      <c r="G170" s="87" t="s">
        <v>209</v>
      </c>
      <c r="H170" s="87"/>
    </row>
    <row r="171" spans="1:5" ht="12.75">
      <c r="A171" s="99"/>
      <c r="B171" s="92"/>
      <c r="C171" s="93"/>
      <c r="D171" s="98"/>
      <c r="E171" s="95"/>
    </row>
    <row r="172" spans="1:5" ht="12.75">
      <c r="A172" s="48"/>
      <c r="B172" s="74"/>
      <c r="C172" s="13"/>
      <c r="D172" s="54"/>
      <c r="E172" s="62"/>
    </row>
    <row r="173" spans="1:5" ht="12.75">
      <c r="A173" s="37" t="s">
        <v>115</v>
      </c>
      <c r="B173" s="74" t="s">
        <v>135</v>
      </c>
      <c r="C173" s="13" t="s">
        <v>134</v>
      </c>
      <c r="D173" s="53" t="s">
        <v>1</v>
      </c>
      <c r="E173" s="62">
        <v>24193.33</v>
      </c>
    </row>
    <row r="174" spans="1:5" ht="12.75">
      <c r="A174" s="37"/>
      <c r="B174" s="74"/>
      <c r="C174" s="13"/>
      <c r="D174" s="53"/>
      <c r="E174" s="62"/>
    </row>
    <row r="175" spans="1:5" ht="12.75">
      <c r="A175" s="48" t="s">
        <v>143</v>
      </c>
      <c r="B175" s="74" t="s">
        <v>167</v>
      </c>
      <c r="C175" s="13" t="s">
        <v>134</v>
      </c>
      <c r="D175" s="53" t="s">
        <v>1</v>
      </c>
      <c r="E175" s="62">
        <v>1584.5</v>
      </c>
    </row>
    <row r="176" spans="1:5" ht="12.75">
      <c r="A176" s="48"/>
      <c r="B176" s="74"/>
      <c r="C176" s="13"/>
      <c r="D176" s="53"/>
      <c r="E176" s="62"/>
    </row>
    <row r="177" spans="1:5" ht="38.25">
      <c r="A177" s="48" t="s">
        <v>143</v>
      </c>
      <c r="B177" s="75" t="s">
        <v>191</v>
      </c>
      <c r="C177" s="13" t="s">
        <v>134</v>
      </c>
      <c r="D177" s="53" t="s">
        <v>1</v>
      </c>
      <c r="E177" s="62">
        <v>28407.33</v>
      </c>
    </row>
    <row r="178" spans="1:5" ht="25.5">
      <c r="A178" s="48" t="s">
        <v>143</v>
      </c>
      <c r="B178" s="75" t="s">
        <v>195</v>
      </c>
      <c r="C178" s="13" t="s">
        <v>134</v>
      </c>
      <c r="D178" s="53" t="s">
        <v>1</v>
      </c>
      <c r="E178" s="62">
        <v>150426.7</v>
      </c>
    </row>
    <row r="179" spans="1:5" ht="12.75">
      <c r="A179" s="48"/>
      <c r="B179" s="74"/>
      <c r="C179" s="13"/>
      <c r="D179" s="54"/>
      <c r="E179" s="62"/>
    </row>
    <row r="180" spans="1:5" ht="25.5">
      <c r="A180" s="48" t="s">
        <v>143</v>
      </c>
      <c r="B180" s="75" t="s">
        <v>198</v>
      </c>
      <c r="C180" s="13" t="s">
        <v>134</v>
      </c>
      <c r="D180" s="53" t="s">
        <v>1</v>
      </c>
      <c r="E180" s="62">
        <v>25832.61</v>
      </c>
    </row>
    <row r="181" spans="1:5" ht="12.75">
      <c r="A181" s="48"/>
      <c r="B181" s="74"/>
      <c r="C181" s="13"/>
      <c r="D181" s="54"/>
      <c r="E181" s="62"/>
    </row>
    <row r="182" spans="1:5" ht="12.75">
      <c r="A182" s="48" t="s">
        <v>143</v>
      </c>
      <c r="B182" s="75" t="s">
        <v>201</v>
      </c>
      <c r="C182" s="13" t="s">
        <v>134</v>
      </c>
      <c r="D182" s="53" t="s">
        <v>1</v>
      </c>
      <c r="E182" s="62">
        <v>3523.98</v>
      </c>
    </row>
    <row r="183" spans="1:8" ht="12.75">
      <c r="A183" s="50"/>
      <c r="B183" s="92"/>
      <c r="C183" s="93"/>
      <c r="D183" s="94"/>
      <c r="E183" s="96">
        <f>SUM(E173:E182)+12051.55</f>
        <v>246020.00000000003</v>
      </c>
      <c r="G183">
        <v>246020</v>
      </c>
      <c r="H183" s="82">
        <f>E183-G183</f>
        <v>0</v>
      </c>
    </row>
    <row r="184" spans="1:5" ht="12.75">
      <c r="A184" s="50"/>
      <c r="B184" s="92"/>
      <c r="C184" s="93"/>
      <c r="D184" s="94"/>
      <c r="E184" s="95"/>
    </row>
    <row r="185" spans="1:8" ht="38.25">
      <c r="A185" s="78" t="s">
        <v>143</v>
      </c>
      <c r="B185" s="75" t="s">
        <v>144</v>
      </c>
      <c r="C185" s="17" t="s">
        <v>145</v>
      </c>
      <c r="D185" s="53" t="s">
        <v>1</v>
      </c>
      <c r="E185" s="31">
        <v>224908.18</v>
      </c>
      <c r="H185" s="62"/>
    </row>
    <row r="186" spans="1:5" ht="38.25">
      <c r="A186" s="78" t="s">
        <v>143</v>
      </c>
      <c r="B186" s="74" t="s">
        <v>165</v>
      </c>
      <c r="C186" s="17" t="s">
        <v>145</v>
      </c>
      <c r="D186" s="53" t="s">
        <v>1</v>
      </c>
      <c r="E186" s="31">
        <v>33781.89</v>
      </c>
    </row>
    <row r="187" spans="1:5" ht="38.25">
      <c r="A187" s="78" t="s">
        <v>177</v>
      </c>
      <c r="B187" s="74" t="s">
        <v>178</v>
      </c>
      <c r="C187" s="17" t="s">
        <v>145</v>
      </c>
      <c r="D187" s="53" t="s">
        <v>1</v>
      </c>
      <c r="E187" s="62">
        <v>71709</v>
      </c>
    </row>
    <row r="188" spans="1:5" ht="38.25">
      <c r="A188" s="78" t="s">
        <v>177</v>
      </c>
      <c r="B188" s="74" t="s">
        <v>179</v>
      </c>
      <c r="C188" s="17" t="s">
        <v>145</v>
      </c>
      <c r="D188" s="53" t="s">
        <v>1</v>
      </c>
      <c r="E188" s="62">
        <v>94743.25</v>
      </c>
    </row>
    <row r="189" spans="1:5" ht="38.25">
      <c r="A189" s="78" t="s">
        <v>143</v>
      </c>
      <c r="B189" s="74" t="s">
        <v>199</v>
      </c>
      <c r="C189" s="17" t="s">
        <v>145</v>
      </c>
      <c r="D189" s="53" t="s">
        <v>1</v>
      </c>
      <c r="E189" s="62">
        <v>286640.33</v>
      </c>
    </row>
    <row r="190" spans="1:5" ht="38.25">
      <c r="A190" s="78" t="s">
        <v>143</v>
      </c>
      <c r="B190" s="74" t="s">
        <v>200</v>
      </c>
      <c r="C190" s="17" t="s">
        <v>145</v>
      </c>
      <c r="D190" s="53" t="s">
        <v>1</v>
      </c>
      <c r="E190" s="62">
        <v>49808.65</v>
      </c>
    </row>
    <row r="191" spans="1:7" ht="12.75">
      <c r="A191" s="114"/>
      <c r="B191" s="92"/>
      <c r="C191" s="115"/>
      <c r="D191" s="98"/>
      <c r="E191" s="96">
        <f>SUM(E185:E190)</f>
        <v>761591.3</v>
      </c>
      <c r="G191" t="s">
        <v>209</v>
      </c>
    </row>
    <row r="192" spans="1:5" ht="12.75">
      <c r="A192" s="78"/>
      <c r="B192" s="74"/>
      <c r="C192" s="17"/>
      <c r="D192" s="53"/>
      <c r="E192" s="62"/>
    </row>
    <row r="193" spans="1:5" ht="12.75">
      <c r="A193" s="78" t="s">
        <v>143</v>
      </c>
      <c r="B193" s="74" t="s">
        <v>176</v>
      </c>
      <c r="C193" s="13" t="s">
        <v>175</v>
      </c>
      <c r="D193" s="53" t="s">
        <v>1</v>
      </c>
      <c r="E193" s="62">
        <v>25887.47</v>
      </c>
    </row>
    <row r="194" spans="1:7" ht="12.75">
      <c r="A194" s="100"/>
      <c r="B194" s="101"/>
      <c r="C194" s="102"/>
      <c r="D194" s="103"/>
      <c r="E194" s="96">
        <f>SUM(E193)</f>
        <v>25887.47</v>
      </c>
      <c r="G194" t="s">
        <v>209</v>
      </c>
    </row>
    <row r="195" spans="1:5" ht="12.75">
      <c r="A195" s="100"/>
      <c r="B195" s="101"/>
      <c r="C195" s="102"/>
      <c r="D195" s="103"/>
      <c r="E195" s="96"/>
    </row>
    <row r="196" spans="1:5" ht="12.75">
      <c r="A196" s="78"/>
      <c r="B196" s="74"/>
      <c r="C196" s="13"/>
      <c r="D196" s="54"/>
      <c r="E196" s="62"/>
    </row>
    <row r="197" spans="1:5" ht="25.5">
      <c r="A197" s="78" t="s">
        <v>143</v>
      </c>
      <c r="B197" s="75" t="s">
        <v>169</v>
      </c>
      <c r="C197" s="17" t="s">
        <v>168</v>
      </c>
      <c r="D197" s="53" t="s">
        <v>1</v>
      </c>
      <c r="E197" s="63">
        <v>271555.97</v>
      </c>
    </row>
    <row r="198" spans="1:5" ht="25.5">
      <c r="A198" s="78" t="s">
        <v>143</v>
      </c>
      <c r="B198" s="75" t="s">
        <v>205</v>
      </c>
      <c r="C198" s="17" t="s">
        <v>168</v>
      </c>
      <c r="D198" s="53" t="s">
        <v>1</v>
      </c>
      <c r="E198" s="63">
        <v>187350.68</v>
      </c>
    </row>
    <row r="199" spans="1:5" ht="25.5">
      <c r="A199" s="78" t="s">
        <v>143</v>
      </c>
      <c r="B199" s="75" t="s">
        <v>206</v>
      </c>
      <c r="C199" s="17" t="s">
        <v>168</v>
      </c>
      <c r="D199" s="53" t="s">
        <v>1</v>
      </c>
      <c r="E199" s="63">
        <v>187350.68</v>
      </c>
    </row>
    <row r="200" spans="1:5" ht="25.5">
      <c r="A200" s="78" t="s">
        <v>143</v>
      </c>
      <c r="B200" s="74" t="s">
        <v>170</v>
      </c>
      <c r="C200" s="17" t="s">
        <v>168</v>
      </c>
      <c r="D200" s="53" t="s">
        <v>1</v>
      </c>
      <c r="E200" s="62">
        <v>496583.34</v>
      </c>
    </row>
    <row r="201" spans="1:5" ht="25.5">
      <c r="A201" s="78" t="s">
        <v>177</v>
      </c>
      <c r="B201" s="74" t="s">
        <v>180</v>
      </c>
      <c r="C201" s="17" t="s">
        <v>168</v>
      </c>
      <c r="D201" s="54" t="s">
        <v>1</v>
      </c>
      <c r="E201" s="62">
        <v>495190.32</v>
      </c>
    </row>
    <row r="202" spans="1:5" ht="25.5">
      <c r="A202" s="78" t="s">
        <v>177</v>
      </c>
      <c r="B202" s="74" t="s">
        <v>228</v>
      </c>
      <c r="C202" s="17" t="s">
        <v>168</v>
      </c>
      <c r="D202" s="54" t="s">
        <v>1</v>
      </c>
      <c r="E202" s="62">
        <f>2290070-2133221.31</f>
        <v>156848.68999999994</v>
      </c>
    </row>
    <row r="203" spans="1:5" ht="25.5">
      <c r="A203" s="48" t="s">
        <v>177</v>
      </c>
      <c r="B203" s="74" t="s">
        <v>181</v>
      </c>
      <c r="C203" s="17" t="s">
        <v>168</v>
      </c>
      <c r="D203" s="54" t="s">
        <v>1</v>
      </c>
      <c r="E203" s="62">
        <v>495190.32</v>
      </c>
    </row>
    <row r="204" spans="1:7" ht="12.75">
      <c r="A204" s="104"/>
      <c r="B204" s="101"/>
      <c r="C204" s="105"/>
      <c r="D204" s="106"/>
      <c r="E204" s="96">
        <f>SUM(E197:E203)</f>
        <v>2290070</v>
      </c>
      <c r="G204" t="s">
        <v>209</v>
      </c>
    </row>
    <row r="205" spans="1:5" ht="12.75">
      <c r="A205" s="104"/>
      <c r="B205" s="101"/>
      <c r="C205" s="102"/>
      <c r="D205" s="106"/>
      <c r="E205" s="96"/>
    </row>
    <row r="206" spans="1:5" ht="25.5">
      <c r="A206" s="48" t="s">
        <v>217</v>
      </c>
      <c r="B206" s="74" t="s">
        <v>214</v>
      </c>
      <c r="C206" s="17" t="s">
        <v>173</v>
      </c>
      <c r="D206" s="53" t="s">
        <v>137</v>
      </c>
      <c r="E206" s="62">
        <v>1</v>
      </c>
    </row>
    <row r="207" spans="1:5" ht="12.75">
      <c r="A207" s="48"/>
      <c r="B207" s="74"/>
      <c r="C207" s="17"/>
      <c r="D207" s="53" t="s">
        <v>1</v>
      </c>
      <c r="E207" s="62">
        <v>7940</v>
      </c>
    </row>
    <row r="208" spans="1:5" ht="25.5">
      <c r="A208" s="48" t="s">
        <v>217</v>
      </c>
      <c r="B208" s="74" t="s">
        <v>215</v>
      </c>
      <c r="C208" s="17" t="s">
        <v>173</v>
      </c>
      <c r="D208" s="53" t="s">
        <v>137</v>
      </c>
      <c r="E208" s="62">
        <v>1</v>
      </c>
    </row>
    <row r="209" spans="1:5" ht="12.75">
      <c r="A209" s="48"/>
      <c r="B209" s="74"/>
      <c r="C209" s="17"/>
      <c r="D209" s="53" t="s">
        <v>1</v>
      </c>
      <c r="E209" s="62">
        <v>4500</v>
      </c>
    </row>
    <row r="210" spans="1:5" ht="25.5">
      <c r="A210" s="48" t="s">
        <v>217</v>
      </c>
      <c r="B210" s="74" t="s">
        <v>216</v>
      </c>
      <c r="C210" s="17" t="s">
        <v>173</v>
      </c>
      <c r="D210" s="53" t="s">
        <v>137</v>
      </c>
      <c r="E210" s="62">
        <v>4</v>
      </c>
    </row>
    <row r="211" spans="1:5" ht="12.75">
      <c r="A211" s="48"/>
      <c r="B211" s="74"/>
      <c r="C211" s="17"/>
      <c r="D211" s="53" t="s">
        <v>1</v>
      </c>
      <c r="E211" s="62">
        <v>25030</v>
      </c>
    </row>
    <row r="212" spans="1:5" ht="25.5">
      <c r="A212" s="37" t="s">
        <v>115</v>
      </c>
      <c r="B212" s="75" t="s">
        <v>136</v>
      </c>
      <c r="C212" s="17" t="s">
        <v>173</v>
      </c>
      <c r="D212" s="53" t="s">
        <v>137</v>
      </c>
      <c r="E212" s="76">
        <v>15</v>
      </c>
    </row>
    <row r="213" spans="1:7" ht="12.75">
      <c r="A213" s="48"/>
      <c r="B213" s="74"/>
      <c r="C213" s="17"/>
      <c r="D213" s="53" t="s">
        <v>1</v>
      </c>
      <c r="E213" s="62">
        <v>129842.47</v>
      </c>
      <c r="F213" s="125"/>
      <c r="G213">
        <f>43280*3</f>
        <v>129840</v>
      </c>
    </row>
    <row r="214" spans="1:6" ht="25.5">
      <c r="A214" s="48" t="s">
        <v>138</v>
      </c>
      <c r="B214" s="74" t="s">
        <v>142</v>
      </c>
      <c r="C214" s="17" t="s">
        <v>173</v>
      </c>
      <c r="D214" s="53" t="s">
        <v>137</v>
      </c>
      <c r="E214" s="76">
        <f>5+5+4</f>
        <v>14</v>
      </c>
      <c r="F214" s="126"/>
    </row>
    <row r="215" spans="1:7" ht="12.75">
      <c r="A215" s="48"/>
      <c r="B215" s="74"/>
      <c r="C215" s="13"/>
      <c r="D215" s="53" t="s">
        <v>1</v>
      </c>
      <c r="E215" s="62">
        <v>120873.6</v>
      </c>
      <c r="F215" s="125"/>
      <c r="G215">
        <f>43280+43170+34540</f>
        <v>120990</v>
      </c>
    </row>
    <row r="216" spans="1:6" ht="12.75">
      <c r="A216" s="48" t="s">
        <v>143</v>
      </c>
      <c r="B216" s="74" t="s">
        <v>213</v>
      </c>
      <c r="C216" s="13" t="s">
        <v>173</v>
      </c>
      <c r="D216" s="53" t="s">
        <v>137</v>
      </c>
      <c r="E216" s="76">
        <v>2</v>
      </c>
      <c r="F216" s="126"/>
    </row>
    <row r="217" spans="1:6" ht="12.75">
      <c r="A217" s="48"/>
      <c r="B217" s="74"/>
      <c r="C217" s="13"/>
      <c r="D217" s="53" t="s">
        <v>1</v>
      </c>
      <c r="E217" s="62">
        <v>21267.07</v>
      </c>
      <c r="F217" s="126"/>
    </row>
    <row r="218" spans="1:6" ht="25.5">
      <c r="A218" s="48" t="s">
        <v>143</v>
      </c>
      <c r="B218" s="74" t="s">
        <v>171</v>
      </c>
      <c r="C218" s="17" t="s">
        <v>172</v>
      </c>
      <c r="D218" s="53" t="s">
        <v>137</v>
      </c>
      <c r="E218" s="76">
        <v>15</v>
      </c>
      <c r="F218" s="126"/>
    </row>
    <row r="219" spans="1:7" ht="12.75">
      <c r="A219" s="48"/>
      <c r="B219" s="74"/>
      <c r="C219" s="17"/>
      <c r="D219" s="53" t="s">
        <v>1</v>
      </c>
      <c r="E219" s="62">
        <f>42770.53+45742.35+43923.28</f>
        <v>132436.16</v>
      </c>
      <c r="F219" s="127"/>
      <c r="G219">
        <f>42.77+43.92+45.74</f>
        <v>132.43</v>
      </c>
    </row>
    <row r="220" spans="1:6" ht="25.5">
      <c r="A220" s="48" t="s">
        <v>143</v>
      </c>
      <c r="B220" s="74" t="s">
        <v>174</v>
      </c>
      <c r="C220" s="17" t="s">
        <v>172</v>
      </c>
      <c r="D220" s="53" t="s">
        <v>137</v>
      </c>
      <c r="E220" s="76">
        <v>3</v>
      </c>
      <c r="F220" s="128"/>
    </row>
    <row r="221" spans="1:7" ht="12.75">
      <c r="A221" s="48"/>
      <c r="B221" s="25"/>
      <c r="C221" s="17"/>
      <c r="D221" s="53" t="s">
        <v>1</v>
      </c>
      <c r="E221" s="62">
        <v>21196.58</v>
      </c>
      <c r="F221" s="127"/>
      <c r="G221">
        <f>7.75+5.75+7.69</f>
        <v>21.19</v>
      </c>
    </row>
    <row r="222" spans="1:6" ht="25.5">
      <c r="A222" s="48" t="s">
        <v>177</v>
      </c>
      <c r="B222" s="25" t="s">
        <v>212</v>
      </c>
      <c r="C222" s="17" t="s">
        <v>172</v>
      </c>
      <c r="D222" s="53" t="s">
        <v>137</v>
      </c>
      <c r="E222" s="76">
        <v>8</v>
      </c>
      <c r="F222" s="128"/>
    </row>
    <row r="223" spans="1:6" ht="12.75">
      <c r="A223" s="48"/>
      <c r="B223" s="25"/>
      <c r="C223" s="17"/>
      <c r="D223" s="53" t="s">
        <v>1</v>
      </c>
      <c r="E223" s="62">
        <v>142300.21</v>
      </c>
      <c r="F223" s="127"/>
    </row>
    <row r="224" spans="1:6" ht="51">
      <c r="A224" s="37" t="s">
        <v>143</v>
      </c>
      <c r="B224" s="75" t="s">
        <v>184</v>
      </c>
      <c r="C224" s="17" t="s">
        <v>173</v>
      </c>
      <c r="D224" s="53" t="s">
        <v>4</v>
      </c>
      <c r="E224" s="76">
        <f>5+1+1+4</f>
        <v>11</v>
      </c>
      <c r="F224" s="128"/>
    </row>
    <row r="225" spans="1:6" ht="12.75">
      <c r="A225" s="48"/>
      <c r="B225" s="25"/>
      <c r="C225" s="17"/>
      <c r="D225" s="53" t="s">
        <v>1</v>
      </c>
      <c r="E225" s="62">
        <f>83910.74</f>
        <v>83910.74</v>
      </c>
      <c r="F225" s="128"/>
    </row>
    <row r="226" spans="1:6" ht="25.5">
      <c r="A226" s="37" t="s">
        <v>143</v>
      </c>
      <c r="B226" s="75" t="s">
        <v>185</v>
      </c>
      <c r="C226" s="17" t="s">
        <v>173</v>
      </c>
      <c r="D226" s="53" t="s">
        <v>4</v>
      </c>
      <c r="E226" s="76">
        <v>19</v>
      </c>
      <c r="F226" s="128"/>
    </row>
    <row r="227" spans="1:6" ht="12.75">
      <c r="A227" s="37"/>
      <c r="B227" s="18"/>
      <c r="C227" s="36"/>
      <c r="D227" s="53" t="s">
        <v>1</v>
      </c>
      <c r="E227" s="63">
        <v>131632.03</v>
      </c>
      <c r="F227" s="129"/>
    </row>
    <row r="228" spans="1:6" ht="12.75">
      <c r="A228" s="37"/>
      <c r="B228" s="18"/>
      <c r="C228" s="36"/>
      <c r="D228" s="53"/>
      <c r="E228" s="63"/>
      <c r="F228" s="128"/>
    </row>
    <row r="229" spans="1:6" ht="25.5">
      <c r="A229" s="78" t="s">
        <v>143</v>
      </c>
      <c r="B229" s="18" t="s">
        <v>186</v>
      </c>
      <c r="C229" s="17" t="s">
        <v>173</v>
      </c>
      <c r="D229" s="53" t="s">
        <v>4</v>
      </c>
      <c r="E229" s="76">
        <v>2</v>
      </c>
      <c r="F229" s="128"/>
    </row>
    <row r="230" spans="1:6" ht="12.75">
      <c r="A230" s="78"/>
      <c r="B230" s="18"/>
      <c r="C230" s="17"/>
      <c r="D230" s="53" t="s">
        <v>1</v>
      </c>
      <c r="E230" s="63">
        <v>23396.95</v>
      </c>
      <c r="F230" s="128"/>
    </row>
    <row r="231" spans="1:6" ht="12.75">
      <c r="A231" s="78"/>
      <c r="B231" s="18"/>
      <c r="C231" s="17"/>
      <c r="D231" s="53"/>
      <c r="E231" s="63"/>
      <c r="F231" s="128"/>
    </row>
    <row r="232" spans="1:6" ht="38.25">
      <c r="A232" s="78" t="s">
        <v>143</v>
      </c>
      <c r="B232" s="18" t="s">
        <v>202</v>
      </c>
      <c r="C232" s="17" t="s">
        <v>173</v>
      </c>
      <c r="D232" s="53" t="s">
        <v>4</v>
      </c>
      <c r="E232" s="76">
        <f>5+1+1+1+4+5</f>
        <v>17</v>
      </c>
      <c r="F232" s="128"/>
    </row>
    <row r="233" spans="1:6" ht="12.75">
      <c r="A233" s="78"/>
      <c r="B233" s="18"/>
      <c r="C233" s="17"/>
      <c r="D233" s="53" t="s">
        <v>1</v>
      </c>
      <c r="E233" s="63">
        <v>133123.82</v>
      </c>
      <c r="F233" s="129"/>
    </row>
    <row r="234" spans="1:6" ht="25.5">
      <c r="A234" s="78" t="s">
        <v>143</v>
      </c>
      <c r="B234" s="18" t="s">
        <v>210</v>
      </c>
      <c r="C234" s="17" t="s">
        <v>203</v>
      </c>
      <c r="D234" s="53" t="s">
        <v>4</v>
      </c>
      <c r="E234" s="76">
        <v>2</v>
      </c>
      <c r="F234" s="128"/>
    </row>
    <row r="235" spans="1:6" ht="12.75">
      <c r="A235" s="37"/>
      <c r="B235" s="107"/>
      <c r="C235" s="20"/>
      <c r="D235" s="53" t="s">
        <v>1</v>
      </c>
      <c r="E235" s="63">
        <v>19483.52</v>
      </c>
      <c r="F235" s="129"/>
    </row>
    <row r="236" spans="1:7" ht="12.75">
      <c r="A236" s="116"/>
      <c r="B236" s="116"/>
      <c r="C236" s="116"/>
      <c r="D236" s="117" t="s">
        <v>4</v>
      </c>
      <c r="E236" s="118">
        <f>E212+E214+E216+E218+E220+E222+E224+E226+E229+E232+E234+E206+E208+E210</f>
        <v>114</v>
      </c>
      <c r="F236" s="82"/>
      <c r="G236">
        <f>114</f>
        <v>114</v>
      </c>
    </row>
    <row r="237" spans="1:8" ht="12.75">
      <c r="A237" s="116"/>
      <c r="B237" s="116"/>
      <c r="C237" s="116"/>
      <c r="D237" s="117" t="s">
        <v>1</v>
      </c>
      <c r="E237" s="118">
        <f>E213+E215+E217+E219+E221+E223+E225+E227+E230+E233+E235+E207+E209+E211</f>
        <v>996933.1500000001</v>
      </c>
      <c r="F237" s="82"/>
      <c r="G237">
        <v>996910</v>
      </c>
      <c r="H237" s="142">
        <f>E237-G237</f>
        <v>23.1500000001397</v>
      </c>
    </row>
    <row r="238" spans="1:5" ht="12.75">
      <c r="A238" s="6"/>
      <c r="B238" s="45"/>
      <c r="C238" s="45"/>
      <c r="D238" s="29"/>
      <c r="E238" s="66"/>
    </row>
    <row r="239" spans="1:8" ht="12.75">
      <c r="A239" s="38"/>
      <c r="B239" s="33" t="s">
        <v>208</v>
      </c>
      <c r="C239" s="33"/>
      <c r="D239" s="34"/>
      <c r="E239" s="80">
        <f>E243+E246+E249+E252+E255+E258+E261+E264+E267+E270+E273+E276+E279+E282+E285+E288+E291+E294+E297+E300+E303+E306+E309+E312+E315+E318+E321+E324+E327+E330+E333+E336+E339+E342+E345+E348+E351+E354+E357+E360+E363+E366+E369+E372+E375+E378+E381+E384+E387+E390+E393+E396+E399+E402+E405+E408+E411+E414+E417+E420+E423+E426+E429+E432+E435+E438+E441+E444+E447+E450+E453+E456+E459+E462</f>
        <v>20.66319999999999</v>
      </c>
      <c r="G239">
        <v>20.663</v>
      </c>
      <c r="H239" s="119">
        <f>E239-G239</f>
        <v>0.00019999999998887574</v>
      </c>
    </row>
    <row r="240" spans="1:8" ht="12.75">
      <c r="A240" s="38"/>
      <c r="B240" s="33" t="s">
        <v>207</v>
      </c>
      <c r="C240" s="33"/>
      <c r="D240" s="34"/>
      <c r="E240" s="108">
        <f>E244+E247+E250+E253+E256+E259+E262+E265+E268+E271+E274+E277+E280+E283+E286+E289+E292+E295+E298+E301+E304+E307+E310+E313+E316+E319+E322+E325+E328+E331+E334+E337+E340+E343+E346+E349+E352+E355+E358+E361+E364+E367+E370+E373+E376+E379+E382+E385+E388+E391+E394+E397+E400+E403+E406+E409+E412+E415+E418+E421+E424+E427+E430+E433+E436+E439+E442+E445+E448+E451+E454+E457+E460+E463</f>
        <v>110</v>
      </c>
      <c r="G240">
        <v>110</v>
      </c>
      <c r="H240" s="119">
        <f>E240-G240</f>
        <v>0</v>
      </c>
    </row>
    <row r="241" spans="1:8" ht="12.75">
      <c r="A241" s="38"/>
      <c r="B241" s="33"/>
      <c r="C241" s="33"/>
      <c r="D241" s="34"/>
      <c r="E241" s="124">
        <f>E245+E248+E251+E254+E257+E260+E263+E266+E269+E272+E275+E278+E281+E284+E287+E290+E293+E296+E299+E302+E305+E308+E311+E314+E317+E320+E323+E326+E329+E332+E335+E338+E341+E344+E347+E350+E353+E356+E359+E362+E365+E368+E371+E374+E377+E380+E383+E386+E389+E392+E395+E398+E401+E404+E407+E410+E413+E416+E419+E422+E425+E428+E431+E434+E437+E440+E443+E446+E449+E452+E455+E458+E461+E464</f>
        <v>16764129.999999998</v>
      </c>
      <c r="G241">
        <v>16764130</v>
      </c>
      <c r="H241" s="82">
        <f>E241-G241</f>
        <v>0</v>
      </c>
    </row>
    <row r="242" spans="1:5" ht="12.75">
      <c r="A242" s="51"/>
      <c r="B242" s="32"/>
      <c r="C242" s="32"/>
      <c r="D242" s="39"/>
      <c r="E242" s="68"/>
    </row>
    <row r="243" spans="1:5" ht="12.75">
      <c r="A243" s="40" t="s">
        <v>115</v>
      </c>
      <c r="B243" s="19" t="s">
        <v>8</v>
      </c>
      <c r="C243" s="23"/>
      <c r="D243" s="41" t="s">
        <v>2</v>
      </c>
      <c r="E243" s="73">
        <v>0.075</v>
      </c>
    </row>
    <row r="244" spans="1:5" ht="12.75">
      <c r="A244" s="40"/>
      <c r="B244" s="41"/>
      <c r="C244" s="41"/>
      <c r="D244" s="41" t="s">
        <v>3</v>
      </c>
      <c r="E244" s="65">
        <v>1</v>
      </c>
    </row>
    <row r="245" spans="1:5" ht="12.75">
      <c r="A245" s="40"/>
      <c r="B245" s="41"/>
      <c r="C245" s="41"/>
      <c r="D245" s="41" t="s">
        <v>1</v>
      </c>
      <c r="E245" s="65">
        <v>71080.64</v>
      </c>
    </row>
    <row r="246" spans="1:5" ht="12.75">
      <c r="A246" s="51" t="s">
        <v>115</v>
      </c>
      <c r="B246" s="123" t="s">
        <v>11</v>
      </c>
      <c r="C246" s="43"/>
      <c r="D246" s="41" t="s">
        <v>2</v>
      </c>
      <c r="E246" s="73">
        <v>0.303</v>
      </c>
    </row>
    <row r="247" spans="1:5" ht="12.75">
      <c r="A247" s="51"/>
      <c r="B247" s="43"/>
      <c r="C247" s="43"/>
      <c r="D247" s="41" t="s">
        <v>3</v>
      </c>
      <c r="E247" s="65">
        <v>1</v>
      </c>
    </row>
    <row r="248" spans="1:7" ht="12.75">
      <c r="A248" s="51"/>
      <c r="B248" s="43"/>
      <c r="C248" s="43"/>
      <c r="D248" s="41" t="s">
        <v>1</v>
      </c>
      <c r="E248" s="65">
        <f>101342.68</f>
        <v>101342.68</v>
      </c>
      <c r="G248" s="65">
        <f>103171.79+101342.68</f>
        <v>204514.46999999997</v>
      </c>
    </row>
    <row r="249" spans="1:5" ht="12.75">
      <c r="A249" s="51" t="s">
        <v>115</v>
      </c>
      <c r="B249" s="123" t="s">
        <v>12</v>
      </c>
      <c r="C249" s="43"/>
      <c r="D249" s="41" t="s">
        <v>2</v>
      </c>
      <c r="E249" s="73">
        <f>0.199+0.193</f>
        <v>0.392</v>
      </c>
    </row>
    <row r="250" spans="1:5" ht="12.75">
      <c r="A250" s="51"/>
      <c r="B250" s="41"/>
      <c r="C250" s="41"/>
      <c r="D250" s="41" t="s">
        <v>3</v>
      </c>
      <c r="E250" s="65">
        <v>2</v>
      </c>
    </row>
    <row r="251" spans="1:5" ht="12.75">
      <c r="A251" s="51"/>
      <c r="B251" s="44"/>
      <c r="C251" s="44"/>
      <c r="D251" s="41" t="s">
        <v>1</v>
      </c>
      <c r="E251" s="65">
        <f>131334.33+102019.08</f>
        <v>233353.40999999997</v>
      </c>
    </row>
    <row r="252" spans="1:5" ht="12.75">
      <c r="A252" s="51" t="s">
        <v>115</v>
      </c>
      <c r="B252" s="123" t="s">
        <v>13</v>
      </c>
      <c r="C252" s="43"/>
      <c r="D252" s="41" t="s">
        <v>2</v>
      </c>
      <c r="E252" s="73">
        <v>0.25</v>
      </c>
    </row>
    <row r="253" spans="1:5" ht="12.75">
      <c r="A253" s="51"/>
      <c r="B253" s="41"/>
      <c r="C253" s="41"/>
      <c r="D253" s="41" t="s">
        <v>3</v>
      </c>
      <c r="E253" s="65">
        <v>1</v>
      </c>
    </row>
    <row r="254" spans="1:5" ht="12.75">
      <c r="A254" s="51"/>
      <c r="B254" s="41"/>
      <c r="C254" s="41"/>
      <c r="D254" s="41" t="s">
        <v>1</v>
      </c>
      <c r="E254" s="65">
        <v>189027.03</v>
      </c>
    </row>
    <row r="255" spans="1:5" ht="12.75">
      <c r="A255" s="51" t="s">
        <v>115</v>
      </c>
      <c r="B255" s="123" t="s">
        <v>123</v>
      </c>
      <c r="C255" s="43"/>
      <c r="D255" s="41" t="s">
        <v>2</v>
      </c>
      <c r="E255" s="73">
        <v>0.219</v>
      </c>
    </row>
    <row r="256" spans="1:5" ht="12.75">
      <c r="A256" s="51"/>
      <c r="B256" s="41"/>
      <c r="C256" s="41"/>
      <c r="D256" s="41" t="s">
        <v>3</v>
      </c>
      <c r="E256" s="65">
        <v>1</v>
      </c>
    </row>
    <row r="257" spans="1:5" ht="12.75">
      <c r="A257" s="51"/>
      <c r="B257" s="41"/>
      <c r="C257" s="41"/>
      <c r="D257" s="41" t="s">
        <v>1</v>
      </c>
      <c r="E257" s="65">
        <f>116601.28</f>
        <v>116601.28</v>
      </c>
    </row>
    <row r="258" spans="1:5" ht="12.75">
      <c r="A258" s="51" t="s">
        <v>115</v>
      </c>
      <c r="B258" s="123" t="s">
        <v>124</v>
      </c>
      <c r="C258" s="43"/>
      <c r="D258" s="41" t="s">
        <v>2</v>
      </c>
      <c r="E258" s="73">
        <v>0.245</v>
      </c>
    </row>
    <row r="259" spans="1:5" ht="12.75">
      <c r="A259" s="51"/>
      <c r="B259" s="41"/>
      <c r="C259" s="41"/>
      <c r="D259" s="41" t="s">
        <v>3</v>
      </c>
      <c r="E259" s="65">
        <v>1</v>
      </c>
    </row>
    <row r="260" spans="1:5" ht="12.75">
      <c r="A260" s="51"/>
      <c r="B260" s="41"/>
      <c r="C260" s="41"/>
      <c r="D260" s="41" t="s">
        <v>1</v>
      </c>
      <c r="E260" s="65">
        <v>118212.33</v>
      </c>
    </row>
    <row r="261" spans="1:5" ht="12.75" hidden="1">
      <c r="A261" s="88"/>
      <c r="B261" s="19" t="s">
        <v>22</v>
      </c>
      <c r="C261" s="19"/>
      <c r="D261" s="44" t="s">
        <v>2</v>
      </c>
      <c r="E261" s="89"/>
    </row>
    <row r="262" spans="1:5" ht="12.75" hidden="1">
      <c r="A262" s="51"/>
      <c r="B262" s="41"/>
      <c r="C262" s="41"/>
      <c r="D262" s="41" t="s">
        <v>3</v>
      </c>
      <c r="E262" s="65"/>
    </row>
    <row r="263" spans="1:5" ht="12.75" hidden="1">
      <c r="A263" s="51"/>
      <c r="B263" s="41"/>
      <c r="C263" s="41"/>
      <c r="D263" s="41" t="s">
        <v>1</v>
      </c>
      <c r="E263" s="65"/>
    </row>
    <row r="264" spans="1:5" ht="12.75">
      <c r="A264" s="51" t="s">
        <v>138</v>
      </c>
      <c r="B264" s="123" t="s">
        <v>25</v>
      </c>
      <c r="C264" s="43"/>
      <c r="D264" s="41" t="s">
        <v>2</v>
      </c>
      <c r="E264" s="73">
        <v>0.592</v>
      </c>
    </row>
    <row r="265" spans="1:5" ht="12.75">
      <c r="A265" s="51"/>
      <c r="B265" s="43"/>
      <c r="C265" s="43"/>
      <c r="D265" s="41" t="s">
        <v>3</v>
      </c>
      <c r="E265" s="120">
        <v>3</v>
      </c>
    </row>
    <row r="266" spans="1:5" ht="12.75">
      <c r="A266" s="51"/>
      <c r="B266" s="43"/>
      <c r="C266" s="43"/>
      <c r="D266" s="41" t="s">
        <v>1</v>
      </c>
      <c r="E266" s="65">
        <f>99413.05+139320.17+101936.59</f>
        <v>340669.81000000006</v>
      </c>
    </row>
    <row r="267" spans="1:5" ht="12.75">
      <c r="A267" s="51" t="s">
        <v>138</v>
      </c>
      <c r="B267" s="123" t="s">
        <v>26</v>
      </c>
      <c r="C267" s="43"/>
      <c r="D267" s="41" t="s">
        <v>2</v>
      </c>
      <c r="E267" s="65">
        <v>0.168</v>
      </c>
    </row>
    <row r="268" spans="1:5" ht="12.75">
      <c r="A268" s="51"/>
      <c r="B268" s="41"/>
      <c r="C268" s="41"/>
      <c r="D268" s="41" t="s">
        <v>3</v>
      </c>
      <c r="E268" s="120">
        <v>1</v>
      </c>
    </row>
    <row r="269" spans="1:5" ht="12.75">
      <c r="A269" s="51"/>
      <c r="B269" s="44"/>
      <c r="C269" s="44"/>
      <c r="D269" s="41" t="s">
        <v>1</v>
      </c>
      <c r="E269" s="65">
        <v>95501.53</v>
      </c>
    </row>
    <row r="270" spans="1:5" ht="12.75">
      <c r="A270" s="51" t="s">
        <v>138</v>
      </c>
      <c r="B270" s="123" t="s">
        <v>27</v>
      </c>
      <c r="C270" s="43"/>
      <c r="D270" s="41" t="s">
        <v>2</v>
      </c>
      <c r="E270" s="65">
        <v>0.174</v>
      </c>
    </row>
    <row r="271" spans="1:5" ht="12.75">
      <c r="A271" s="51"/>
      <c r="B271" s="41"/>
      <c r="C271" s="41"/>
      <c r="D271" s="41" t="s">
        <v>3</v>
      </c>
      <c r="E271" s="120">
        <v>2</v>
      </c>
    </row>
    <row r="272" spans="1:5" ht="12.75">
      <c r="A272" s="51"/>
      <c r="B272" s="41"/>
      <c r="C272" s="41"/>
      <c r="D272" s="41" t="s">
        <v>1</v>
      </c>
      <c r="E272" s="65">
        <v>139524.22</v>
      </c>
    </row>
    <row r="273" spans="1:5" ht="12.75">
      <c r="A273" s="51" t="s">
        <v>115</v>
      </c>
      <c r="B273" s="123" t="s">
        <v>28</v>
      </c>
      <c r="C273" s="43"/>
      <c r="D273" s="41" t="s">
        <v>2</v>
      </c>
      <c r="E273" s="73">
        <v>0.295</v>
      </c>
    </row>
    <row r="274" spans="1:5" ht="12.75">
      <c r="A274" s="51"/>
      <c r="B274" s="41"/>
      <c r="C274" s="41"/>
      <c r="D274" s="41" t="s">
        <v>3</v>
      </c>
      <c r="E274" s="120">
        <v>1</v>
      </c>
    </row>
    <row r="275" spans="1:5" ht="12.75">
      <c r="A275" s="51"/>
      <c r="B275" s="41"/>
      <c r="C275" s="41"/>
      <c r="D275" s="41" t="s">
        <v>1</v>
      </c>
      <c r="E275" s="65">
        <v>132118.03</v>
      </c>
    </row>
    <row r="276" spans="1:5" ht="12.75">
      <c r="A276" s="51" t="s">
        <v>115</v>
      </c>
      <c r="B276" s="32" t="s">
        <v>29</v>
      </c>
      <c r="C276" s="42" t="s">
        <v>125</v>
      </c>
      <c r="D276" s="6" t="s">
        <v>2</v>
      </c>
      <c r="E276" s="77">
        <v>0.192</v>
      </c>
    </row>
    <row r="277" spans="1:5" ht="12.75">
      <c r="A277" s="51"/>
      <c r="B277" s="32"/>
      <c r="C277" s="42" t="s">
        <v>126</v>
      </c>
      <c r="D277" s="6" t="s">
        <v>3</v>
      </c>
      <c r="E277" s="121"/>
    </row>
    <row r="278" spans="1:5" ht="12.75">
      <c r="A278" s="51"/>
      <c r="B278" s="32"/>
      <c r="C278" s="32"/>
      <c r="D278" s="6" t="s">
        <v>1</v>
      </c>
      <c r="E278" s="64">
        <v>77416.92</v>
      </c>
    </row>
    <row r="279" spans="1:5" ht="12.75">
      <c r="A279" s="51" t="s">
        <v>138</v>
      </c>
      <c r="B279" s="123" t="s">
        <v>30</v>
      </c>
      <c r="C279" s="43"/>
      <c r="D279" s="6" t="s">
        <v>2</v>
      </c>
      <c r="E279" s="77">
        <v>0.179</v>
      </c>
    </row>
    <row r="280" spans="1:5" ht="12.75">
      <c r="A280" s="51"/>
      <c r="B280" s="42"/>
      <c r="C280" s="42"/>
      <c r="D280" s="6" t="s">
        <v>3</v>
      </c>
      <c r="E280" s="121">
        <v>1</v>
      </c>
    </row>
    <row r="281" spans="1:5" ht="12.75">
      <c r="A281" s="51"/>
      <c r="B281" s="42"/>
      <c r="C281" s="42"/>
      <c r="D281" s="6" t="s">
        <v>1</v>
      </c>
      <c r="E281" s="64">
        <v>66632.2</v>
      </c>
    </row>
    <row r="282" spans="1:5" ht="12.75">
      <c r="A282" s="51" t="s">
        <v>138</v>
      </c>
      <c r="B282" s="19" t="s">
        <v>31</v>
      </c>
      <c r="C282" s="23"/>
      <c r="D282" s="6" t="s">
        <v>2</v>
      </c>
      <c r="E282" s="77">
        <f>0.225/3*2</f>
        <v>0.15</v>
      </c>
    </row>
    <row r="283" spans="1:5" ht="12.75">
      <c r="A283" s="51"/>
      <c r="B283" s="32"/>
      <c r="C283" s="32"/>
      <c r="D283" s="6" t="s">
        <v>3</v>
      </c>
      <c r="E283" s="121">
        <v>2</v>
      </c>
    </row>
    <row r="284" spans="1:5" ht="12.75">
      <c r="A284" s="51"/>
      <c r="B284" s="32"/>
      <c r="C284" s="32"/>
      <c r="D284" s="6" t="s">
        <v>1</v>
      </c>
      <c r="E284" s="64">
        <f>149100</f>
        <v>149100</v>
      </c>
    </row>
    <row r="285" spans="1:8" ht="25.5">
      <c r="A285" s="51" t="s">
        <v>138</v>
      </c>
      <c r="B285" s="123" t="s">
        <v>42</v>
      </c>
      <c r="C285" s="43"/>
      <c r="D285" s="41" t="s">
        <v>2</v>
      </c>
      <c r="E285" s="73">
        <f>0.147+0.169+0.157+0.153+0.176</f>
        <v>0.802</v>
      </c>
      <c r="G285" s="43" t="s">
        <v>211</v>
      </c>
      <c r="H285">
        <f>112120.69+117290.48</f>
        <v>229411.16999999998</v>
      </c>
    </row>
    <row r="286" spans="1:5" ht="12.75">
      <c r="A286" s="51"/>
      <c r="B286" s="43"/>
      <c r="C286" s="43"/>
      <c r="D286" s="41" t="s">
        <v>3</v>
      </c>
      <c r="E286" s="120">
        <v>5</v>
      </c>
    </row>
    <row r="287" spans="1:5" ht="12.75">
      <c r="A287" s="51"/>
      <c r="B287" s="43"/>
      <c r="C287" s="43"/>
      <c r="D287" s="41" t="s">
        <v>1</v>
      </c>
      <c r="E287" s="65">
        <f>130509.16+128170.51+136882.66+144624.3+117413.36</f>
        <v>657599.9899999999</v>
      </c>
    </row>
    <row r="288" spans="1:5" ht="12.75">
      <c r="A288" s="51" t="s">
        <v>138</v>
      </c>
      <c r="B288" s="123" t="s">
        <v>43</v>
      </c>
      <c r="C288" s="43"/>
      <c r="D288" s="41" t="s">
        <v>2</v>
      </c>
      <c r="E288" s="73">
        <v>0.395</v>
      </c>
    </row>
    <row r="289" spans="1:5" ht="12.75">
      <c r="A289" s="51"/>
      <c r="B289" s="41"/>
      <c r="C289" s="41"/>
      <c r="D289" s="41" t="s">
        <v>3</v>
      </c>
      <c r="E289" s="120">
        <v>1</v>
      </c>
    </row>
    <row r="290" spans="1:5" ht="12.75">
      <c r="A290" s="51"/>
      <c r="B290" s="44"/>
      <c r="C290" s="44"/>
      <c r="D290" s="41" t="s">
        <v>1</v>
      </c>
      <c r="E290" s="65">
        <f>117290.48+112120.69</f>
        <v>229411.16999999998</v>
      </c>
    </row>
    <row r="291" spans="1:5" ht="12.75">
      <c r="A291" s="51" t="s">
        <v>138</v>
      </c>
      <c r="B291" s="123" t="s">
        <v>44</v>
      </c>
      <c r="C291" s="43"/>
      <c r="D291" s="41" t="s">
        <v>2</v>
      </c>
      <c r="E291" s="73">
        <v>0.244</v>
      </c>
    </row>
    <row r="292" spans="1:5" ht="12.75">
      <c r="A292" s="51"/>
      <c r="B292" s="41"/>
      <c r="C292" s="41"/>
      <c r="D292" s="41" t="s">
        <v>3</v>
      </c>
      <c r="E292" s="120">
        <v>3</v>
      </c>
    </row>
    <row r="293" spans="1:5" ht="12.75">
      <c r="A293" s="51"/>
      <c r="B293" s="41"/>
      <c r="C293" s="41"/>
      <c r="D293" s="41" t="s">
        <v>1</v>
      </c>
      <c r="E293" s="65">
        <f>72292.02+73899.82+73815.9</f>
        <v>220007.74000000002</v>
      </c>
    </row>
    <row r="294" spans="1:5" ht="12.75">
      <c r="A294" s="51" t="s">
        <v>138</v>
      </c>
      <c r="B294" s="32" t="s">
        <v>57</v>
      </c>
      <c r="C294" s="42"/>
      <c r="D294" s="41" t="s">
        <v>2</v>
      </c>
      <c r="E294" s="77">
        <v>0.05</v>
      </c>
    </row>
    <row r="295" spans="1:5" ht="12.75">
      <c r="A295" s="51"/>
      <c r="B295" s="31"/>
      <c r="C295" s="31"/>
      <c r="D295" s="41" t="s">
        <v>3</v>
      </c>
      <c r="E295" s="121">
        <v>1</v>
      </c>
    </row>
    <row r="296" spans="1:5" ht="12.75">
      <c r="A296" s="51"/>
      <c r="B296" s="31"/>
      <c r="C296" s="31"/>
      <c r="D296" s="41" t="s">
        <v>1</v>
      </c>
      <c r="E296" s="64">
        <v>47470.95</v>
      </c>
    </row>
    <row r="297" spans="1:5" ht="12.75">
      <c r="A297" s="51" t="s">
        <v>138</v>
      </c>
      <c r="B297" s="32" t="s">
        <v>58</v>
      </c>
      <c r="C297" s="42"/>
      <c r="D297" s="6" t="s">
        <v>2</v>
      </c>
      <c r="E297" s="77">
        <v>0.103</v>
      </c>
    </row>
    <row r="298" spans="1:5" ht="12.75">
      <c r="A298" s="51"/>
      <c r="B298" s="42"/>
      <c r="C298" s="42"/>
      <c r="D298" s="6" t="s">
        <v>3</v>
      </c>
      <c r="E298" s="121">
        <v>2</v>
      </c>
    </row>
    <row r="299" spans="1:5" ht="12.75">
      <c r="A299" s="51"/>
      <c r="B299" s="42"/>
      <c r="C299" s="42"/>
      <c r="D299" s="6" t="s">
        <v>1</v>
      </c>
      <c r="E299" s="64">
        <f>47383.36+47383.36</f>
        <v>94766.72</v>
      </c>
    </row>
    <row r="300" spans="1:5" ht="12.75">
      <c r="A300" s="51" t="s">
        <v>138</v>
      </c>
      <c r="B300" s="123" t="s">
        <v>60</v>
      </c>
      <c r="C300" s="43"/>
      <c r="D300" s="41" t="s">
        <v>2</v>
      </c>
      <c r="E300" s="77">
        <v>0.156</v>
      </c>
    </row>
    <row r="301" spans="1:5" ht="12.75">
      <c r="A301" s="51"/>
      <c r="B301" s="45"/>
      <c r="C301" s="45"/>
      <c r="D301" s="6" t="s">
        <v>3</v>
      </c>
      <c r="E301" s="121">
        <v>1</v>
      </c>
    </row>
    <row r="302" spans="1:5" ht="12.75">
      <c r="A302" s="51"/>
      <c r="B302" s="45"/>
      <c r="C302" s="45"/>
      <c r="D302" s="6" t="s">
        <v>1</v>
      </c>
      <c r="E302" s="64">
        <v>129878.34</v>
      </c>
    </row>
    <row r="303" spans="1:5" ht="12.75">
      <c r="A303" s="51" t="s">
        <v>138</v>
      </c>
      <c r="B303" s="123" t="s">
        <v>139</v>
      </c>
      <c r="C303" s="43"/>
      <c r="D303" s="41" t="s">
        <v>2</v>
      </c>
      <c r="E303" s="73">
        <v>0.079</v>
      </c>
    </row>
    <row r="304" spans="1:5" ht="12.75">
      <c r="A304" s="51"/>
      <c r="B304" s="43"/>
      <c r="C304" s="43"/>
      <c r="D304" s="41" t="s">
        <v>3</v>
      </c>
      <c r="E304" s="120">
        <v>1</v>
      </c>
    </row>
    <row r="305" spans="1:5" ht="12.75">
      <c r="A305" s="51"/>
      <c r="B305" s="43"/>
      <c r="C305" s="43"/>
      <c r="D305" s="41" t="s">
        <v>1</v>
      </c>
      <c r="E305" s="65">
        <v>82573.4</v>
      </c>
    </row>
    <row r="306" spans="1:5" ht="12.75">
      <c r="A306" s="51" t="s">
        <v>115</v>
      </c>
      <c r="B306" s="123" t="s">
        <v>129</v>
      </c>
      <c r="C306" s="43"/>
      <c r="D306" s="6" t="s">
        <v>2</v>
      </c>
      <c r="E306" s="73">
        <f>0.0805+0.1445+0.0988+0.1062</f>
        <v>0.43</v>
      </c>
    </row>
    <row r="307" spans="1:5" ht="12.75">
      <c r="A307" s="51"/>
      <c r="B307" s="41"/>
      <c r="C307" s="41"/>
      <c r="D307" s="6" t="s">
        <v>3</v>
      </c>
      <c r="E307" s="120">
        <v>4</v>
      </c>
    </row>
    <row r="308" spans="1:5" ht="12.75">
      <c r="A308" s="51"/>
      <c r="B308" s="44"/>
      <c r="C308" s="44"/>
      <c r="D308" s="6" t="s">
        <v>1</v>
      </c>
      <c r="E308" s="65">
        <f>68975.07+216894.08</f>
        <v>285869.15</v>
      </c>
    </row>
    <row r="309" spans="1:5" ht="12.75">
      <c r="A309" s="51" t="s">
        <v>138</v>
      </c>
      <c r="B309" s="123" t="s">
        <v>61</v>
      </c>
      <c r="C309" s="43"/>
      <c r="D309" s="6" t="s">
        <v>2</v>
      </c>
      <c r="E309" s="73">
        <v>0.401</v>
      </c>
    </row>
    <row r="310" spans="1:5" ht="12.75">
      <c r="A310" s="51"/>
      <c r="B310" s="41"/>
      <c r="C310" s="41"/>
      <c r="D310" s="6" t="s">
        <v>3</v>
      </c>
      <c r="E310" s="120">
        <v>4</v>
      </c>
    </row>
    <row r="311" spans="1:5" ht="12.75">
      <c r="A311" s="51"/>
      <c r="B311" s="41"/>
      <c r="C311" s="41"/>
      <c r="D311" s="6" t="s">
        <v>1</v>
      </c>
      <c r="E311" s="65">
        <f>167730.79+186276.12</f>
        <v>354006.91000000003</v>
      </c>
    </row>
    <row r="312" spans="1:5" ht="12.75">
      <c r="A312" s="51" t="s">
        <v>115</v>
      </c>
      <c r="B312" s="123" t="s">
        <v>62</v>
      </c>
      <c r="C312" s="43"/>
      <c r="D312" s="41" t="s">
        <v>2</v>
      </c>
      <c r="E312" s="73">
        <v>0.085</v>
      </c>
    </row>
    <row r="313" spans="1:5" ht="12.75">
      <c r="A313" s="51"/>
      <c r="B313" s="41"/>
      <c r="C313" s="41"/>
      <c r="D313" s="41" t="s">
        <v>3</v>
      </c>
      <c r="E313" s="120">
        <v>1</v>
      </c>
    </row>
    <row r="314" spans="1:5" ht="12.75">
      <c r="A314" s="51"/>
      <c r="B314" s="41"/>
      <c r="C314" s="41"/>
      <c r="D314" s="41" t="s">
        <v>1</v>
      </c>
      <c r="E314" s="65">
        <v>74206.08</v>
      </c>
    </row>
    <row r="315" spans="1:5" ht="12.75">
      <c r="A315" s="51" t="s">
        <v>138</v>
      </c>
      <c r="B315" s="32" t="s">
        <v>68</v>
      </c>
      <c r="C315" s="42"/>
      <c r="D315" s="41" t="s">
        <v>2</v>
      </c>
      <c r="E315" s="73">
        <v>0.075</v>
      </c>
    </row>
    <row r="316" spans="1:5" ht="12.75">
      <c r="A316" s="51"/>
      <c r="B316" s="31"/>
      <c r="C316" s="31"/>
      <c r="D316" s="41" t="s">
        <v>3</v>
      </c>
      <c r="E316" s="120">
        <v>1</v>
      </c>
    </row>
    <row r="317" spans="1:5" ht="12.75">
      <c r="A317" s="51"/>
      <c r="B317" s="31"/>
      <c r="C317" s="31"/>
      <c r="D317" s="41" t="s">
        <v>1</v>
      </c>
      <c r="E317" s="65">
        <v>74773.05</v>
      </c>
    </row>
    <row r="318" spans="1:5" ht="12.75">
      <c r="A318" s="51" t="s">
        <v>138</v>
      </c>
      <c r="B318" s="32" t="s">
        <v>69</v>
      </c>
      <c r="C318" s="42"/>
      <c r="D318" s="6" t="s">
        <v>2</v>
      </c>
      <c r="E318" s="77">
        <v>0.223</v>
      </c>
    </row>
    <row r="319" spans="1:5" ht="12.75">
      <c r="A319" s="51"/>
      <c r="B319" s="42"/>
      <c r="C319" s="42"/>
      <c r="D319" s="6" t="s">
        <v>3</v>
      </c>
      <c r="E319" s="121">
        <v>3</v>
      </c>
    </row>
    <row r="320" spans="1:5" ht="12.75">
      <c r="A320" s="51"/>
      <c r="B320" s="42"/>
      <c r="C320" s="42"/>
      <c r="D320" s="6" t="s">
        <v>1</v>
      </c>
      <c r="E320" s="64">
        <f>213379.18</f>
        <v>213379.18</v>
      </c>
    </row>
    <row r="321" spans="1:7" ht="12.75">
      <c r="A321" s="51" t="s">
        <v>115</v>
      </c>
      <c r="B321" s="32" t="s">
        <v>140</v>
      </c>
      <c r="C321" s="42"/>
      <c r="D321" s="6" t="s">
        <v>2</v>
      </c>
      <c r="E321" s="77">
        <v>0.402</v>
      </c>
      <c r="G321">
        <f>1690/4</f>
        <v>422.5</v>
      </c>
    </row>
    <row r="322" spans="1:5" ht="12.75">
      <c r="A322" s="51"/>
      <c r="B322" s="42"/>
      <c r="C322" s="42"/>
      <c r="D322" s="6" t="s">
        <v>3</v>
      </c>
      <c r="E322" s="121">
        <v>1</v>
      </c>
    </row>
    <row r="323" spans="1:5" ht="12.75">
      <c r="A323" s="51"/>
      <c r="B323" s="42"/>
      <c r="C323" s="42"/>
      <c r="D323" s="6" t="s">
        <v>1</v>
      </c>
      <c r="E323" s="64">
        <f>210661.53</f>
        <v>210661.53</v>
      </c>
    </row>
    <row r="324" spans="1:5" ht="12.75">
      <c r="A324" s="51" t="s">
        <v>138</v>
      </c>
      <c r="B324" s="32" t="s">
        <v>141</v>
      </c>
      <c r="C324" s="42"/>
      <c r="D324" s="6" t="s">
        <v>2</v>
      </c>
      <c r="E324" s="77">
        <v>0.402</v>
      </c>
    </row>
    <row r="325" spans="1:5" ht="12.75">
      <c r="A325" s="51"/>
      <c r="B325" s="42"/>
      <c r="C325" s="42"/>
      <c r="D325" s="6" t="s">
        <v>3</v>
      </c>
      <c r="E325" s="121">
        <v>1</v>
      </c>
    </row>
    <row r="326" spans="1:7" ht="12.75">
      <c r="A326" s="51"/>
      <c r="B326" s="42"/>
      <c r="C326" s="42"/>
      <c r="D326" s="6" t="s">
        <v>1</v>
      </c>
      <c r="E326" s="64">
        <v>219128.41</v>
      </c>
      <c r="F326" s="87"/>
      <c r="G326" s="87"/>
    </row>
    <row r="327" spans="1:7" ht="12.75">
      <c r="A327" s="48" t="s">
        <v>143</v>
      </c>
      <c r="B327" s="32" t="s">
        <v>70</v>
      </c>
      <c r="C327" s="42"/>
      <c r="D327" s="6" t="s">
        <v>2</v>
      </c>
      <c r="E327" s="77">
        <v>0.686</v>
      </c>
      <c r="F327" s="87"/>
      <c r="G327" s="87"/>
    </row>
    <row r="328" spans="1:7" ht="12.75">
      <c r="A328" s="48"/>
      <c r="B328" s="42"/>
      <c r="C328" s="42"/>
      <c r="D328" s="6" t="s">
        <v>3</v>
      </c>
      <c r="E328" s="121">
        <v>1</v>
      </c>
      <c r="F328" s="87"/>
      <c r="G328" s="87"/>
    </row>
    <row r="329" spans="1:7" ht="12.75">
      <c r="A329" s="48"/>
      <c r="B329" s="45"/>
      <c r="C329" s="45"/>
      <c r="D329" s="6" t="s">
        <v>1</v>
      </c>
      <c r="E329" s="64">
        <v>418555.38</v>
      </c>
      <c r="F329" s="87"/>
      <c r="G329" s="87"/>
    </row>
    <row r="330" spans="1:7" ht="12.75">
      <c r="A330" s="48" t="s">
        <v>143</v>
      </c>
      <c r="B330" s="32" t="s">
        <v>71</v>
      </c>
      <c r="C330" s="42"/>
      <c r="D330" s="6" t="s">
        <v>2</v>
      </c>
      <c r="E330" s="77">
        <f>0.09+0.091</f>
        <v>0.181</v>
      </c>
      <c r="F330" s="87"/>
      <c r="G330" s="87"/>
    </row>
    <row r="331" spans="1:7" ht="12.75">
      <c r="A331" s="51"/>
      <c r="B331" s="32"/>
      <c r="C331" s="32"/>
      <c r="D331" s="6" t="s">
        <v>3</v>
      </c>
      <c r="E331" s="121">
        <v>2</v>
      </c>
      <c r="F331" s="87"/>
      <c r="G331" s="87"/>
    </row>
    <row r="332" spans="1:7" ht="12.75">
      <c r="A332" s="51"/>
      <c r="B332" s="32"/>
      <c r="C332" s="32"/>
      <c r="D332" s="6" t="s">
        <v>1</v>
      </c>
      <c r="E332" s="64">
        <f>161945.3</f>
        <v>161945.3</v>
      </c>
      <c r="F332" s="87"/>
      <c r="G332" s="87"/>
    </row>
    <row r="333" spans="1:7" ht="12.75">
      <c r="A333" s="48" t="s">
        <v>143</v>
      </c>
      <c r="B333" s="32" t="s">
        <v>76</v>
      </c>
      <c r="C333" s="42"/>
      <c r="D333" s="6" t="s">
        <v>2</v>
      </c>
      <c r="E333" s="122">
        <v>0.075</v>
      </c>
      <c r="F333" s="87"/>
      <c r="G333" s="87"/>
    </row>
    <row r="334" spans="1:7" ht="12.75">
      <c r="A334" s="51"/>
      <c r="B334" s="42"/>
      <c r="C334" s="42"/>
      <c r="D334" s="6" t="s">
        <v>3</v>
      </c>
      <c r="E334" s="121">
        <v>1</v>
      </c>
      <c r="F334" s="87"/>
      <c r="G334" s="87"/>
    </row>
    <row r="335" spans="1:7" ht="12.75">
      <c r="A335" s="51"/>
      <c r="B335" s="42"/>
      <c r="C335" s="42"/>
      <c r="D335" s="6" t="s">
        <v>1</v>
      </c>
      <c r="E335" s="64">
        <v>81175.27</v>
      </c>
      <c r="F335" s="87"/>
      <c r="G335" s="87"/>
    </row>
    <row r="336" spans="1:7" ht="12.75">
      <c r="A336" s="48" t="s">
        <v>143</v>
      </c>
      <c r="B336" s="32" t="s">
        <v>77</v>
      </c>
      <c r="C336" s="42"/>
      <c r="D336" s="6" t="s">
        <v>2</v>
      </c>
      <c r="E336" s="77">
        <v>0.091</v>
      </c>
      <c r="F336" s="87"/>
      <c r="G336" s="87"/>
    </row>
    <row r="337" spans="1:7" ht="12.75">
      <c r="A337" s="51"/>
      <c r="B337" s="32"/>
      <c r="C337" s="32"/>
      <c r="D337" s="6" t="s">
        <v>3</v>
      </c>
      <c r="E337" s="121">
        <v>1</v>
      </c>
      <c r="F337" s="87"/>
      <c r="G337" s="87"/>
    </row>
    <row r="338" spans="1:7" ht="12.75">
      <c r="A338" s="51"/>
      <c r="B338" s="32"/>
      <c r="C338" s="32"/>
      <c r="D338" s="6" t="s">
        <v>1</v>
      </c>
      <c r="E338" s="64">
        <v>83177.61</v>
      </c>
      <c r="F338" s="87"/>
      <c r="G338" s="87"/>
    </row>
    <row r="339" spans="1:7" ht="12.75">
      <c r="A339" s="48" t="s">
        <v>143</v>
      </c>
      <c r="B339" s="32" t="s">
        <v>78</v>
      </c>
      <c r="C339" s="42"/>
      <c r="D339" s="6" t="s">
        <v>2</v>
      </c>
      <c r="E339" s="77">
        <v>0.081</v>
      </c>
      <c r="F339" s="87"/>
      <c r="G339" s="87"/>
    </row>
    <row r="340" spans="1:7" ht="12.75">
      <c r="A340" s="51"/>
      <c r="B340" s="32"/>
      <c r="C340" s="32"/>
      <c r="D340" s="6" t="s">
        <v>3</v>
      </c>
      <c r="E340" s="121">
        <v>1</v>
      </c>
      <c r="F340" s="87"/>
      <c r="G340" s="87"/>
    </row>
    <row r="341" spans="1:7" ht="12.75">
      <c r="A341" s="51"/>
      <c r="B341" s="32"/>
      <c r="C341" s="32"/>
      <c r="D341" s="6" t="s">
        <v>1</v>
      </c>
      <c r="E341" s="64">
        <v>75932.01</v>
      </c>
      <c r="F341" s="87"/>
      <c r="G341" s="87"/>
    </row>
    <row r="342" spans="1:7" ht="12.75">
      <c r="A342" s="48" t="s">
        <v>143</v>
      </c>
      <c r="B342" s="32" t="s">
        <v>79</v>
      </c>
      <c r="C342" s="42"/>
      <c r="D342" s="6" t="s">
        <v>2</v>
      </c>
      <c r="E342" s="77">
        <v>0.09</v>
      </c>
      <c r="F342" s="87"/>
      <c r="G342" s="87"/>
    </row>
    <row r="343" spans="1:7" ht="12.75">
      <c r="A343" s="51"/>
      <c r="B343" s="32"/>
      <c r="C343" s="32"/>
      <c r="D343" s="6" t="s">
        <v>3</v>
      </c>
      <c r="E343" s="121">
        <v>1</v>
      </c>
      <c r="F343" s="87"/>
      <c r="G343" s="87"/>
    </row>
    <row r="344" spans="1:7" ht="12.75">
      <c r="A344" s="51"/>
      <c r="B344" s="45"/>
      <c r="C344" s="45"/>
      <c r="D344" s="6" t="s">
        <v>1</v>
      </c>
      <c r="E344" s="64">
        <v>77884.44</v>
      </c>
      <c r="F344" s="87">
        <v>79423.69</v>
      </c>
      <c r="G344" s="87"/>
    </row>
    <row r="345" spans="1:7" ht="12.75">
      <c r="A345" s="48" t="s">
        <v>143</v>
      </c>
      <c r="B345" s="32" t="s">
        <v>80</v>
      </c>
      <c r="C345" s="42"/>
      <c r="D345" s="6" t="s">
        <v>2</v>
      </c>
      <c r="E345" s="77">
        <v>0.076</v>
      </c>
      <c r="F345" s="87"/>
      <c r="G345" s="87"/>
    </row>
    <row r="346" spans="1:7" ht="12.75">
      <c r="A346" s="51"/>
      <c r="B346" s="45"/>
      <c r="C346" s="45"/>
      <c r="D346" s="6" t="s">
        <v>3</v>
      </c>
      <c r="E346" s="121">
        <v>1</v>
      </c>
      <c r="F346" s="87"/>
      <c r="G346" s="87"/>
    </row>
    <row r="347" spans="1:7" ht="12.75">
      <c r="A347" s="51"/>
      <c r="B347" s="45"/>
      <c r="C347" s="45"/>
      <c r="D347" s="6" t="s">
        <v>1</v>
      </c>
      <c r="E347" s="64">
        <v>75932.01</v>
      </c>
      <c r="F347" s="87"/>
      <c r="G347" s="87"/>
    </row>
    <row r="348" spans="1:7" ht="12.75">
      <c r="A348" s="48" t="s">
        <v>143</v>
      </c>
      <c r="B348" s="32" t="s">
        <v>89</v>
      </c>
      <c r="C348" s="42"/>
      <c r="D348" s="6" t="s">
        <v>2</v>
      </c>
      <c r="E348" s="73">
        <f>0.188+0.226</f>
        <v>0.41400000000000003</v>
      </c>
      <c r="F348" s="87"/>
      <c r="G348" s="87"/>
    </row>
    <row r="349" spans="1:7" ht="12.75">
      <c r="A349" s="51"/>
      <c r="B349" s="31"/>
      <c r="C349" s="31"/>
      <c r="D349" s="6" t="s">
        <v>3</v>
      </c>
      <c r="E349" s="120">
        <v>2</v>
      </c>
      <c r="F349" s="87"/>
      <c r="G349" s="87"/>
    </row>
    <row r="350" spans="1:7" ht="12.75">
      <c r="A350" s="51"/>
      <c r="B350" s="31"/>
      <c r="C350" s="31"/>
      <c r="D350" s="6" t="s">
        <v>1</v>
      </c>
      <c r="E350" s="65">
        <f>184461.09+122248.2</f>
        <v>306709.29</v>
      </c>
      <c r="F350" s="87"/>
      <c r="G350" s="87"/>
    </row>
    <row r="351" spans="1:7" ht="12.75">
      <c r="A351" s="48" t="s">
        <v>143</v>
      </c>
      <c r="B351" s="32" t="s">
        <v>90</v>
      </c>
      <c r="C351" s="42"/>
      <c r="D351" s="6" t="s">
        <v>2</v>
      </c>
      <c r="E351" s="122">
        <v>0.151</v>
      </c>
      <c r="F351" s="87"/>
      <c r="G351" s="87"/>
    </row>
    <row r="352" spans="1:7" ht="12.75">
      <c r="A352" s="51"/>
      <c r="B352" s="42"/>
      <c r="C352" s="42"/>
      <c r="D352" s="6" t="s">
        <v>3</v>
      </c>
      <c r="E352" s="121">
        <v>2</v>
      </c>
      <c r="F352" s="87"/>
      <c r="G352" s="87"/>
    </row>
    <row r="353" spans="1:7" ht="12.75">
      <c r="A353" s="51"/>
      <c r="B353" s="42"/>
      <c r="C353" s="42"/>
      <c r="D353" s="6" t="s">
        <v>1</v>
      </c>
      <c r="E353" s="64">
        <f>85512.56+85700.27</f>
        <v>171212.83000000002</v>
      </c>
      <c r="F353" s="87"/>
      <c r="G353" s="87"/>
    </row>
    <row r="354" spans="1:7" ht="12.75">
      <c r="A354" s="51" t="s">
        <v>143</v>
      </c>
      <c r="B354" s="32" t="s">
        <v>91</v>
      </c>
      <c r="C354" s="42"/>
      <c r="D354" s="6" t="s">
        <v>2</v>
      </c>
      <c r="E354" s="122">
        <f>0.2426+0.256+0.142+0.2914</f>
        <v>0.932</v>
      </c>
      <c r="F354" s="87"/>
      <c r="G354" s="87"/>
    </row>
    <row r="355" spans="1:7" ht="12.75">
      <c r="A355" s="51"/>
      <c r="B355" s="45"/>
      <c r="C355" s="45"/>
      <c r="D355" s="6" t="s">
        <v>3</v>
      </c>
      <c r="E355" s="121">
        <v>4</v>
      </c>
      <c r="F355" s="87"/>
      <c r="G355" s="87"/>
    </row>
    <row r="356" spans="1:7" ht="12.75">
      <c r="A356" s="51"/>
      <c r="B356" s="45"/>
      <c r="C356" s="45"/>
      <c r="D356" s="6" t="s">
        <v>1</v>
      </c>
      <c r="E356" s="64">
        <f>637390+1591.58</f>
        <v>638981.58</v>
      </c>
      <c r="F356" s="87"/>
      <c r="G356" s="87"/>
    </row>
    <row r="357" spans="1:7" ht="12.75">
      <c r="A357" s="48" t="s">
        <v>143</v>
      </c>
      <c r="B357" s="32" t="s">
        <v>192</v>
      </c>
      <c r="C357" s="42"/>
      <c r="D357" s="6" t="s">
        <v>2</v>
      </c>
      <c r="E357" s="77">
        <v>0.816</v>
      </c>
      <c r="F357" s="87"/>
      <c r="G357" s="87"/>
    </row>
    <row r="358" spans="1:7" ht="12.75">
      <c r="A358" s="51"/>
      <c r="B358" s="32"/>
      <c r="C358" s="32"/>
      <c r="D358" s="6" t="s">
        <v>3</v>
      </c>
      <c r="E358" s="121">
        <v>1</v>
      </c>
      <c r="F358" s="87"/>
      <c r="G358" s="87"/>
    </row>
    <row r="359" spans="1:7" ht="12.75">
      <c r="A359" s="51"/>
      <c r="B359" s="45"/>
      <c r="C359" s="45"/>
      <c r="D359" s="6" t="s">
        <v>1</v>
      </c>
      <c r="E359" s="64">
        <v>652628.38</v>
      </c>
      <c r="F359" s="87"/>
      <c r="G359" s="87"/>
    </row>
    <row r="360" spans="1:7" ht="12.75">
      <c r="A360" s="48" t="s">
        <v>143</v>
      </c>
      <c r="B360" s="32" t="s">
        <v>193</v>
      </c>
      <c r="C360" s="42"/>
      <c r="D360" s="6" t="s">
        <v>2</v>
      </c>
      <c r="E360" s="77">
        <v>0.799</v>
      </c>
      <c r="F360" s="87"/>
      <c r="G360" s="87"/>
    </row>
    <row r="361" spans="1:7" ht="12.75">
      <c r="A361" s="51"/>
      <c r="B361" s="32"/>
      <c r="C361" s="32"/>
      <c r="D361" s="6" t="s">
        <v>3</v>
      </c>
      <c r="E361" s="121">
        <v>1</v>
      </c>
      <c r="F361" s="87"/>
      <c r="G361" s="87"/>
    </row>
    <row r="362" spans="1:7" ht="12.75">
      <c r="A362" s="51"/>
      <c r="B362" s="45"/>
      <c r="C362" s="45"/>
      <c r="D362" s="6" t="s">
        <v>1</v>
      </c>
      <c r="E362" s="64">
        <v>621916.25</v>
      </c>
      <c r="F362" s="87"/>
      <c r="G362" s="87"/>
    </row>
    <row r="363" spans="1:7" ht="12.75">
      <c r="A363" s="48" t="s">
        <v>143</v>
      </c>
      <c r="B363" s="32" t="s">
        <v>92</v>
      </c>
      <c r="C363" s="42"/>
      <c r="D363" s="6" t="s">
        <v>2</v>
      </c>
      <c r="E363" s="77">
        <v>0.588</v>
      </c>
      <c r="F363" s="87"/>
      <c r="G363" s="87"/>
    </row>
    <row r="364" spans="1:5" ht="12.75">
      <c r="A364" s="51"/>
      <c r="B364" s="32"/>
      <c r="C364" s="32"/>
      <c r="D364" s="6" t="s">
        <v>3</v>
      </c>
      <c r="E364" s="121">
        <v>1</v>
      </c>
    </row>
    <row r="365" spans="1:5" ht="12.75">
      <c r="A365" s="51"/>
      <c r="B365" s="32"/>
      <c r="C365" s="32"/>
      <c r="D365" s="6" t="s">
        <v>1</v>
      </c>
      <c r="E365" s="64">
        <v>795759.02</v>
      </c>
    </row>
    <row r="366" spans="1:5" ht="12.75">
      <c r="A366" s="51" t="s">
        <v>143</v>
      </c>
      <c r="B366" s="32" t="s">
        <v>93</v>
      </c>
      <c r="C366" s="42"/>
      <c r="D366" s="6" t="s">
        <v>2</v>
      </c>
      <c r="E366" s="73">
        <v>0.091</v>
      </c>
    </row>
    <row r="367" spans="1:5" ht="12.75">
      <c r="A367" s="51"/>
      <c r="B367" s="31"/>
      <c r="C367" s="31"/>
      <c r="D367" s="6" t="s">
        <v>3</v>
      </c>
      <c r="E367" s="120">
        <v>1</v>
      </c>
    </row>
    <row r="368" spans="1:5" ht="12.75">
      <c r="A368" s="51"/>
      <c r="B368" s="31"/>
      <c r="C368" s="31"/>
      <c r="D368" s="6" t="s">
        <v>1</v>
      </c>
      <c r="E368" s="65">
        <v>86154.79</v>
      </c>
    </row>
    <row r="369" spans="1:5" ht="12.75">
      <c r="A369" s="51" t="s">
        <v>143</v>
      </c>
      <c r="B369" s="32" t="s">
        <v>94</v>
      </c>
      <c r="C369" s="42"/>
      <c r="D369" s="6" t="s">
        <v>2</v>
      </c>
      <c r="E369" s="77">
        <v>0.677</v>
      </c>
    </row>
    <row r="370" spans="1:5" ht="12.75">
      <c r="A370" s="51"/>
      <c r="B370" s="45"/>
      <c r="C370" s="45"/>
      <c r="D370" s="6" t="s">
        <v>3</v>
      </c>
      <c r="E370" s="121">
        <v>1</v>
      </c>
    </row>
    <row r="371" spans="1:5" ht="12.75">
      <c r="A371" s="51"/>
      <c r="B371" s="45"/>
      <c r="C371" s="45"/>
      <c r="D371" s="6" t="s">
        <v>1</v>
      </c>
      <c r="E371" s="64">
        <v>623103.9</v>
      </c>
    </row>
    <row r="372" spans="1:5" ht="12.75">
      <c r="A372" s="48" t="s">
        <v>143</v>
      </c>
      <c r="B372" s="32" t="s">
        <v>95</v>
      </c>
      <c r="C372" s="42"/>
      <c r="D372" s="6" t="s">
        <v>2</v>
      </c>
      <c r="E372" s="73">
        <f>0.092+0.091</f>
        <v>0.183</v>
      </c>
    </row>
    <row r="373" spans="1:5" ht="12.75">
      <c r="A373" s="51"/>
      <c r="B373" s="31"/>
      <c r="C373" s="31"/>
      <c r="D373" s="6" t="s">
        <v>3</v>
      </c>
      <c r="E373" s="120">
        <v>2</v>
      </c>
    </row>
    <row r="374" spans="1:6" ht="12.75">
      <c r="A374" s="51"/>
      <c r="B374" s="31"/>
      <c r="C374" s="31"/>
      <c r="D374" s="6" t="s">
        <v>1</v>
      </c>
      <c r="E374" s="65">
        <f>89611.68+88548.47</f>
        <v>178160.15</v>
      </c>
      <c r="F374" s="81"/>
    </row>
    <row r="375" spans="1:5" ht="12.75">
      <c r="A375" s="51" t="s">
        <v>143</v>
      </c>
      <c r="B375" s="32" t="s">
        <v>96</v>
      </c>
      <c r="C375" s="42"/>
      <c r="D375" s="6" t="s">
        <v>2</v>
      </c>
      <c r="E375" s="77">
        <v>0.148</v>
      </c>
    </row>
    <row r="376" spans="1:5" ht="12.75">
      <c r="A376" s="51"/>
      <c r="B376" s="45"/>
      <c r="C376" s="45"/>
      <c r="D376" s="6" t="s">
        <v>3</v>
      </c>
      <c r="E376" s="121">
        <v>2</v>
      </c>
    </row>
    <row r="377" spans="1:5" ht="12.75">
      <c r="A377" s="51"/>
      <c r="B377" s="45"/>
      <c r="C377" s="45"/>
      <c r="D377" s="6" t="s">
        <v>1</v>
      </c>
      <c r="E377" s="64">
        <v>152800.94</v>
      </c>
    </row>
    <row r="378" spans="1:5" ht="12.75">
      <c r="A378" s="51" t="s">
        <v>143</v>
      </c>
      <c r="B378" s="32" t="s">
        <v>97</v>
      </c>
      <c r="C378" s="42"/>
      <c r="D378" s="6" t="s">
        <v>2</v>
      </c>
      <c r="E378" s="77">
        <v>0.08</v>
      </c>
    </row>
    <row r="379" spans="1:5" ht="12.75">
      <c r="A379" s="51"/>
      <c r="B379" s="32"/>
      <c r="C379" s="32"/>
      <c r="D379" s="6" t="s">
        <v>3</v>
      </c>
      <c r="E379" s="121">
        <v>1</v>
      </c>
    </row>
    <row r="380" spans="1:5" ht="12.75">
      <c r="A380" s="51"/>
      <c r="B380" s="45"/>
      <c r="C380" s="45"/>
      <c r="D380" s="6" t="s">
        <v>1</v>
      </c>
      <c r="E380" s="64">
        <v>87014.25</v>
      </c>
    </row>
    <row r="381" spans="1:5" ht="12.75">
      <c r="A381" s="51" t="s">
        <v>143</v>
      </c>
      <c r="B381" s="32" t="s">
        <v>98</v>
      </c>
      <c r="C381" s="42"/>
      <c r="D381" s="6" t="s">
        <v>2</v>
      </c>
      <c r="E381" s="77">
        <f>0.371/5</f>
        <v>0.0742</v>
      </c>
    </row>
    <row r="382" spans="1:5" ht="12.75">
      <c r="A382" s="51"/>
      <c r="B382" s="45"/>
      <c r="C382" s="45"/>
      <c r="D382" s="6" t="s">
        <v>3</v>
      </c>
      <c r="E382" s="121">
        <v>1</v>
      </c>
    </row>
    <row r="383" spans="1:5" ht="12.75">
      <c r="A383" s="51"/>
      <c r="B383" s="45"/>
      <c r="C383" s="45"/>
      <c r="D383" s="6" t="s">
        <v>1</v>
      </c>
      <c r="E383" s="64">
        <v>76376.5</v>
      </c>
    </row>
    <row r="384" spans="1:5" ht="12.75">
      <c r="A384" s="51" t="s">
        <v>143</v>
      </c>
      <c r="B384" s="32" t="s">
        <v>196</v>
      </c>
      <c r="C384" s="42"/>
      <c r="D384" s="6" t="s">
        <v>2</v>
      </c>
      <c r="E384" s="77">
        <v>0.26</v>
      </c>
    </row>
    <row r="385" spans="1:5" ht="12.75">
      <c r="A385" s="51"/>
      <c r="B385" s="45"/>
      <c r="C385" s="45"/>
      <c r="D385" s="6" t="s">
        <v>3</v>
      </c>
      <c r="E385" s="121">
        <v>1</v>
      </c>
    </row>
    <row r="386" spans="1:5" ht="12.75">
      <c r="A386" s="51"/>
      <c r="B386" s="45"/>
      <c r="C386" s="45"/>
      <c r="D386" s="6" t="s">
        <v>1</v>
      </c>
      <c r="E386" s="64">
        <v>187988.08</v>
      </c>
    </row>
    <row r="387" spans="1:5" ht="12.75">
      <c r="A387" s="51" t="s">
        <v>143</v>
      </c>
      <c r="B387" s="32" t="s">
        <v>99</v>
      </c>
      <c r="C387" s="42"/>
      <c r="D387" s="6" t="s">
        <v>2</v>
      </c>
      <c r="E387" s="73">
        <v>0.14</v>
      </c>
    </row>
    <row r="388" spans="1:5" ht="12.75">
      <c r="A388" s="51"/>
      <c r="B388" s="42"/>
      <c r="C388" s="42"/>
      <c r="D388" s="6" t="s">
        <v>3</v>
      </c>
      <c r="E388" s="121">
        <v>2</v>
      </c>
    </row>
    <row r="389" spans="1:5" ht="12.75">
      <c r="A389" s="51"/>
      <c r="B389" s="42"/>
      <c r="C389" s="42"/>
      <c r="D389" s="6" t="s">
        <v>1</v>
      </c>
      <c r="E389" s="64">
        <v>168572.91</v>
      </c>
    </row>
    <row r="390" spans="1:5" ht="12.75">
      <c r="A390" s="51" t="s">
        <v>143</v>
      </c>
      <c r="B390" s="32" t="s">
        <v>197</v>
      </c>
      <c r="C390" s="42"/>
      <c r="D390" s="6" t="s">
        <v>2</v>
      </c>
      <c r="E390" s="77">
        <v>0.584</v>
      </c>
    </row>
    <row r="391" spans="1:5" ht="12.75">
      <c r="A391" s="51"/>
      <c r="B391" s="45"/>
      <c r="C391" s="45"/>
      <c r="D391" s="6" t="s">
        <v>3</v>
      </c>
      <c r="E391" s="121">
        <v>1</v>
      </c>
    </row>
    <row r="392" spans="1:5" ht="12.75">
      <c r="A392" s="51"/>
      <c r="B392" s="45"/>
      <c r="C392" s="45"/>
      <c r="D392" s="6" t="s">
        <v>1</v>
      </c>
      <c r="E392" s="64">
        <f>370157.45</f>
        <v>370157.45</v>
      </c>
    </row>
    <row r="393" spans="1:5" ht="12.75">
      <c r="A393" s="51" t="s">
        <v>143</v>
      </c>
      <c r="B393" s="32" t="s">
        <v>100</v>
      </c>
      <c r="C393" s="42"/>
      <c r="D393" s="6" t="s">
        <v>2</v>
      </c>
      <c r="E393" s="77">
        <v>0.299</v>
      </c>
    </row>
    <row r="394" spans="1:5" ht="12.75">
      <c r="A394" s="51"/>
      <c r="B394" s="32"/>
      <c r="C394" s="32"/>
      <c r="D394" s="6" t="s">
        <v>3</v>
      </c>
      <c r="E394" s="121">
        <v>4</v>
      </c>
    </row>
    <row r="395" spans="1:5" ht="12.75">
      <c r="A395" s="51"/>
      <c r="B395" s="45"/>
      <c r="C395" s="45"/>
      <c r="D395" s="6" t="s">
        <v>1</v>
      </c>
      <c r="E395" s="64">
        <f>148197.02+147505.77</f>
        <v>295702.79</v>
      </c>
    </row>
    <row r="396" spans="1:5" ht="12.75">
      <c r="A396" s="51" t="s">
        <v>143</v>
      </c>
      <c r="B396" s="32" t="s">
        <v>101</v>
      </c>
      <c r="C396" s="42"/>
      <c r="D396" s="6" t="s">
        <v>2</v>
      </c>
      <c r="E396" s="77">
        <v>0.606</v>
      </c>
    </row>
    <row r="397" spans="1:5" ht="12.75">
      <c r="A397" s="51"/>
      <c r="B397" s="32"/>
      <c r="C397" s="32"/>
      <c r="D397" s="6" t="s">
        <v>3</v>
      </c>
      <c r="E397" s="121">
        <v>1</v>
      </c>
    </row>
    <row r="398" spans="1:5" ht="12.75">
      <c r="A398" s="51"/>
      <c r="B398" s="45"/>
      <c r="C398" s="45"/>
      <c r="D398" s="6" t="s">
        <v>1</v>
      </c>
      <c r="E398" s="64">
        <v>704480.13</v>
      </c>
    </row>
    <row r="399" spans="1:5" ht="12.75">
      <c r="A399" s="51" t="s">
        <v>143</v>
      </c>
      <c r="B399" s="32" t="s">
        <v>102</v>
      </c>
      <c r="C399" s="42"/>
      <c r="D399" s="6" t="s">
        <v>2</v>
      </c>
      <c r="E399" s="77">
        <v>0.576</v>
      </c>
    </row>
    <row r="400" spans="1:5" ht="12.75">
      <c r="A400" s="51"/>
      <c r="B400" s="32"/>
      <c r="C400" s="32"/>
      <c r="D400" s="6" t="s">
        <v>3</v>
      </c>
      <c r="E400" s="121">
        <v>1</v>
      </c>
    </row>
    <row r="401" spans="1:5" ht="12.75">
      <c r="A401" s="51"/>
      <c r="B401" s="32"/>
      <c r="C401" s="32"/>
      <c r="D401" s="6" t="s">
        <v>1</v>
      </c>
      <c r="E401" s="64">
        <v>696354.67</v>
      </c>
    </row>
    <row r="402" spans="1:5" ht="12.75">
      <c r="A402" s="51" t="s">
        <v>143</v>
      </c>
      <c r="B402" s="32" t="s">
        <v>103</v>
      </c>
      <c r="C402" s="42"/>
      <c r="D402" s="41" t="s">
        <v>2</v>
      </c>
      <c r="E402" s="77">
        <v>0.074</v>
      </c>
    </row>
    <row r="403" spans="1:5" ht="12.75">
      <c r="A403" s="51"/>
      <c r="B403" s="31"/>
      <c r="C403" s="31"/>
      <c r="D403" s="41" t="s">
        <v>3</v>
      </c>
      <c r="E403" s="121">
        <v>1</v>
      </c>
    </row>
    <row r="404" spans="1:5" ht="12.75">
      <c r="A404" s="51"/>
      <c r="B404" s="31"/>
      <c r="C404" s="31"/>
      <c r="D404" s="41" t="s">
        <v>1</v>
      </c>
      <c r="E404" s="64">
        <v>136398.02</v>
      </c>
    </row>
    <row r="405" spans="1:5" ht="12.75">
      <c r="A405" s="51" t="s">
        <v>143</v>
      </c>
      <c r="B405" s="32" t="s">
        <v>104</v>
      </c>
      <c r="C405" s="42"/>
      <c r="D405" s="6" t="s">
        <v>2</v>
      </c>
      <c r="E405" s="77">
        <v>0.435</v>
      </c>
    </row>
    <row r="406" spans="1:5" ht="12.75">
      <c r="A406" s="51"/>
      <c r="B406" s="45"/>
      <c r="C406" s="45"/>
      <c r="D406" s="6" t="s">
        <v>3</v>
      </c>
      <c r="E406" s="121">
        <v>1</v>
      </c>
    </row>
    <row r="407" spans="1:5" ht="12.75">
      <c r="A407" s="51"/>
      <c r="B407" s="45"/>
      <c r="C407" s="45"/>
      <c r="D407" s="6" t="s">
        <v>1</v>
      </c>
      <c r="E407" s="64">
        <v>218115.99</v>
      </c>
    </row>
    <row r="408" spans="1:5" ht="12.75">
      <c r="A408" s="51" t="s">
        <v>143</v>
      </c>
      <c r="B408" s="8" t="s">
        <v>146</v>
      </c>
      <c r="C408" s="42"/>
      <c r="D408" s="6" t="s">
        <v>2</v>
      </c>
      <c r="E408" s="73">
        <v>0.147</v>
      </c>
    </row>
    <row r="409" spans="1:5" ht="12.75">
      <c r="A409" s="51"/>
      <c r="B409" s="22"/>
      <c r="C409" s="32"/>
      <c r="D409" s="6" t="s">
        <v>3</v>
      </c>
      <c r="E409" s="120">
        <v>2</v>
      </c>
    </row>
    <row r="410" spans="1:5" ht="12.75">
      <c r="A410" s="51"/>
      <c r="B410" s="22"/>
      <c r="C410" s="45"/>
      <c r="D410" s="6" t="s">
        <v>1</v>
      </c>
      <c r="E410" s="65">
        <v>152080.01</v>
      </c>
    </row>
    <row r="411" spans="1:5" ht="12.75">
      <c r="A411" s="51" t="s">
        <v>143</v>
      </c>
      <c r="B411" s="8" t="s">
        <v>147</v>
      </c>
      <c r="C411" s="42"/>
      <c r="D411" s="6" t="s">
        <v>2</v>
      </c>
      <c r="E411" s="122">
        <v>0.15</v>
      </c>
    </row>
    <row r="412" spans="1:5" ht="12.75">
      <c r="A412" s="51"/>
      <c r="B412" s="14"/>
      <c r="C412" s="32"/>
      <c r="D412" s="6" t="s">
        <v>3</v>
      </c>
      <c r="E412" s="121">
        <v>1</v>
      </c>
    </row>
    <row r="413" spans="1:5" ht="12.75">
      <c r="A413" s="51"/>
      <c r="B413" s="14"/>
      <c r="C413" s="45"/>
      <c r="D413" s="6" t="s">
        <v>1</v>
      </c>
      <c r="E413" s="64">
        <v>72899.16</v>
      </c>
    </row>
    <row r="414" spans="1:5" ht="12.75">
      <c r="A414" s="51" t="s">
        <v>143</v>
      </c>
      <c r="B414" s="8" t="s">
        <v>148</v>
      </c>
      <c r="C414" s="42"/>
      <c r="D414" s="6" t="s">
        <v>2</v>
      </c>
      <c r="E414" s="77">
        <v>0.326</v>
      </c>
    </row>
    <row r="415" spans="1:5" ht="12.75">
      <c r="A415" s="51"/>
      <c r="B415" s="21"/>
      <c r="C415" s="45"/>
      <c r="D415" s="6" t="s">
        <v>3</v>
      </c>
      <c r="E415" s="121">
        <v>1</v>
      </c>
    </row>
    <row r="416" spans="1:5" ht="12.75">
      <c r="A416" s="51"/>
      <c r="B416" s="21"/>
      <c r="C416" s="45"/>
      <c r="D416" s="6" t="s">
        <v>1</v>
      </c>
      <c r="E416" s="64">
        <v>215791.58</v>
      </c>
    </row>
    <row r="417" spans="1:5" ht="12.75">
      <c r="A417" s="51" t="s">
        <v>143</v>
      </c>
      <c r="B417" s="8" t="s">
        <v>149</v>
      </c>
      <c r="C417" s="42"/>
      <c r="D417" s="6" t="s">
        <v>2</v>
      </c>
      <c r="E417" s="77">
        <v>0.074</v>
      </c>
    </row>
    <row r="418" spans="1:5" ht="12.75">
      <c r="A418" s="51"/>
      <c r="B418" s="21"/>
      <c r="C418" s="31"/>
      <c r="D418" s="41" t="s">
        <v>3</v>
      </c>
      <c r="E418" s="121">
        <v>1</v>
      </c>
    </row>
    <row r="419" spans="1:5" ht="12.75">
      <c r="A419" s="51"/>
      <c r="B419" s="21"/>
      <c r="C419" s="31"/>
      <c r="D419" s="41" t="s">
        <v>1</v>
      </c>
      <c r="E419" s="64">
        <v>74204.05</v>
      </c>
    </row>
    <row r="420" spans="1:5" ht="12.75">
      <c r="A420" s="51" t="s">
        <v>143</v>
      </c>
      <c r="B420" s="8" t="s">
        <v>150</v>
      </c>
      <c r="C420" s="32"/>
      <c r="D420" s="6" t="s">
        <v>2</v>
      </c>
      <c r="E420" s="77">
        <v>0.096</v>
      </c>
    </row>
    <row r="421" spans="1:5" ht="12.75">
      <c r="A421" s="51"/>
      <c r="B421" s="21"/>
      <c r="C421" s="32"/>
      <c r="D421" s="6" t="s">
        <v>3</v>
      </c>
      <c r="E421" s="121">
        <v>1</v>
      </c>
    </row>
    <row r="422" spans="1:5" ht="12.75">
      <c r="A422" s="51"/>
      <c r="B422" s="21"/>
      <c r="C422" s="32"/>
      <c r="D422" s="6" t="s">
        <v>1</v>
      </c>
      <c r="E422" s="64">
        <v>78802.68</v>
      </c>
    </row>
    <row r="423" spans="1:5" ht="12.75">
      <c r="A423" s="51" t="s">
        <v>143</v>
      </c>
      <c r="B423" s="8" t="s">
        <v>151</v>
      </c>
      <c r="C423" s="32"/>
      <c r="D423" s="6" t="s">
        <v>2</v>
      </c>
      <c r="E423" s="77">
        <v>0.583</v>
      </c>
    </row>
    <row r="424" spans="1:5" ht="12.75">
      <c r="A424" s="51"/>
      <c r="B424" s="21"/>
      <c r="C424" s="32"/>
      <c r="D424" s="6" t="s">
        <v>3</v>
      </c>
      <c r="E424" s="64">
        <v>1</v>
      </c>
    </row>
    <row r="425" spans="1:5" ht="12.75">
      <c r="A425" s="79"/>
      <c r="B425" s="42"/>
      <c r="C425" s="32"/>
      <c r="D425" s="6" t="s">
        <v>1</v>
      </c>
      <c r="E425" s="64">
        <v>613464.45</v>
      </c>
    </row>
    <row r="426" spans="1:5" ht="12.75">
      <c r="A426" s="79" t="s">
        <v>143</v>
      </c>
      <c r="B426" s="32" t="s">
        <v>152</v>
      </c>
      <c r="C426" s="32"/>
      <c r="D426" s="6" t="s">
        <v>2</v>
      </c>
      <c r="E426" s="77">
        <v>0.207</v>
      </c>
    </row>
    <row r="427" spans="1:5" ht="12.75">
      <c r="A427" s="79"/>
      <c r="B427" s="31"/>
      <c r="C427" s="32"/>
      <c r="D427" s="6" t="s">
        <v>3</v>
      </c>
      <c r="E427" s="64">
        <v>1</v>
      </c>
    </row>
    <row r="428" spans="1:5" ht="12.75">
      <c r="A428" s="79"/>
      <c r="B428" s="31"/>
      <c r="C428" s="32"/>
      <c r="D428" s="6" t="s">
        <v>1</v>
      </c>
      <c r="E428" s="64">
        <v>204214.72</v>
      </c>
    </row>
    <row r="429" spans="1:5" ht="12.75">
      <c r="A429" s="79" t="s">
        <v>143</v>
      </c>
      <c r="B429" s="32" t="s">
        <v>153</v>
      </c>
      <c r="C429" s="32"/>
      <c r="D429" s="6" t="s">
        <v>2</v>
      </c>
      <c r="E429" s="77">
        <v>0.081</v>
      </c>
    </row>
    <row r="430" spans="1:5" ht="12.75">
      <c r="A430" s="79"/>
      <c r="B430" s="42"/>
      <c r="C430" s="32"/>
      <c r="D430" s="41" t="s">
        <v>3</v>
      </c>
      <c r="E430" s="64">
        <v>1</v>
      </c>
    </row>
    <row r="431" spans="1:5" ht="12.75">
      <c r="A431" s="79"/>
      <c r="B431" s="42"/>
      <c r="C431" s="32"/>
      <c r="D431" s="41" t="s">
        <v>1</v>
      </c>
      <c r="E431" s="64">
        <v>86290.87</v>
      </c>
    </row>
    <row r="432" spans="1:5" ht="12.75">
      <c r="A432" s="79" t="s">
        <v>143</v>
      </c>
      <c r="B432" s="32" t="s">
        <v>154</v>
      </c>
      <c r="C432" s="32"/>
      <c r="D432" s="6" t="s">
        <v>2</v>
      </c>
      <c r="E432" s="77">
        <v>0.075</v>
      </c>
    </row>
    <row r="433" spans="1:5" ht="12.75">
      <c r="A433" s="79"/>
      <c r="B433" s="42"/>
      <c r="C433" s="32"/>
      <c r="D433" s="6" t="s">
        <v>3</v>
      </c>
      <c r="E433" s="64">
        <v>1</v>
      </c>
    </row>
    <row r="434" spans="1:5" ht="12.75">
      <c r="A434" s="79"/>
      <c r="B434" s="42"/>
      <c r="C434" s="32"/>
      <c r="D434" s="6" t="s">
        <v>1</v>
      </c>
      <c r="E434" s="64">
        <v>76519.04</v>
      </c>
    </row>
    <row r="435" spans="1:5" ht="12.75">
      <c r="A435" s="79" t="s">
        <v>143</v>
      </c>
      <c r="B435" s="32" t="s">
        <v>155</v>
      </c>
      <c r="C435" s="32"/>
      <c r="D435" s="6" t="s">
        <v>2</v>
      </c>
      <c r="E435" s="77">
        <v>0.223</v>
      </c>
    </row>
    <row r="436" spans="1:5" ht="12.75">
      <c r="A436" s="79"/>
      <c r="B436" s="42"/>
      <c r="C436" s="32"/>
      <c r="D436" s="6" t="s">
        <v>3</v>
      </c>
      <c r="E436" s="64">
        <v>3</v>
      </c>
    </row>
    <row r="437" spans="1:5" ht="12.75">
      <c r="A437" s="79"/>
      <c r="B437" s="42"/>
      <c r="C437" s="32"/>
      <c r="D437" s="6" t="s">
        <v>1</v>
      </c>
      <c r="E437" s="64">
        <f>149811.17+74775.03</f>
        <v>224586.2</v>
      </c>
    </row>
    <row r="438" spans="1:5" ht="12.75">
      <c r="A438" s="79" t="s">
        <v>143</v>
      </c>
      <c r="B438" s="32" t="s">
        <v>156</v>
      </c>
      <c r="C438" s="32"/>
      <c r="D438" s="6" t="s">
        <v>2</v>
      </c>
      <c r="E438" s="77">
        <f>0.075*2</f>
        <v>0.15</v>
      </c>
    </row>
    <row r="439" spans="1:5" ht="12.75">
      <c r="A439" s="79"/>
      <c r="B439" s="31"/>
      <c r="C439" s="32"/>
      <c r="D439" s="6" t="s">
        <v>3</v>
      </c>
      <c r="E439" s="64">
        <v>2</v>
      </c>
    </row>
    <row r="440" spans="1:5" ht="12.75">
      <c r="A440" s="51"/>
      <c r="B440" s="22"/>
      <c r="C440" s="32"/>
      <c r="D440" s="6" t="s">
        <v>1</v>
      </c>
      <c r="E440" s="64">
        <v>148497.72</v>
      </c>
    </row>
    <row r="441" spans="1:5" ht="12.75">
      <c r="A441" s="51" t="s">
        <v>177</v>
      </c>
      <c r="B441" s="8" t="s">
        <v>157</v>
      </c>
      <c r="C441" s="32"/>
      <c r="D441" s="6" t="s">
        <v>2</v>
      </c>
      <c r="E441" s="122">
        <v>0.613</v>
      </c>
    </row>
    <row r="442" spans="1:5" ht="12.75">
      <c r="A442" s="51"/>
      <c r="B442" s="14"/>
      <c r="C442" s="32"/>
      <c r="D442" s="41" t="s">
        <v>3</v>
      </c>
      <c r="E442" s="64">
        <v>1</v>
      </c>
    </row>
    <row r="443" spans="1:5" ht="12.75">
      <c r="A443" s="51"/>
      <c r="B443" s="14"/>
      <c r="C443" s="32"/>
      <c r="D443" s="6" t="s">
        <v>1</v>
      </c>
      <c r="E443" s="64">
        <f>415091.76+312110.65</f>
        <v>727202.41</v>
      </c>
    </row>
    <row r="444" spans="1:5" ht="12.75">
      <c r="A444" s="51" t="s">
        <v>177</v>
      </c>
      <c r="B444" s="8" t="s">
        <v>158</v>
      </c>
      <c r="C444" s="32"/>
      <c r="D444" s="6" t="s">
        <v>2</v>
      </c>
      <c r="E444" s="77">
        <v>0.262</v>
      </c>
    </row>
    <row r="445" spans="1:5" ht="12.75">
      <c r="A445" s="51"/>
      <c r="B445" s="3"/>
      <c r="C445" s="32"/>
      <c r="D445" s="41" t="s">
        <v>3</v>
      </c>
      <c r="E445" s="64">
        <v>3</v>
      </c>
    </row>
    <row r="446" spans="1:5" ht="12.75">
      <c r="A446" s="51"/>
      <c r="B446" s="3"/>
      <c r="C446" s="32"/>
      <c r="D446" s="41" t="s">
        <v>1</v>
      </c>
      <c r="E446" s="64">
        <f>177708.9+84299.2</f>
        <v>262008.09999999998</v>
      </c>
    </row>
    <row r="447" spans="1:5" ht="12.75">
      <c r="A447" s="51" t="s">
        <v>177</v>
      </c>
      <c r="B447" s="8" t="s">
        <v>159</v>
      </c>
      <c r="C447" s="32"/>
      <c r="D447" s="6" t="s">
        <v>2</v>
      </c>
      <c r="E447" s="77">
        <v>0.158</v>
      </c>
    </row>
    <row r="448" spans="1:5" ht="12.75">
      <c r="A448" s="51"/>
      <c r="B448" s="9"/>
      <c r="C448" s="32"/>
      <c r="D448" s="6" t="s">
        <v>3</v>
      </c>
      <c r="E448" s="64">
        <v>1</v>
      </c>
    </row>
    <row r="449" spans="1:5" ht="12.75">
      <c r="A449" s="51"/>
      <c r="B449" s="3"/>
      <c r="C449" s="32"/>
      <c r="D449" s="6" t="s">
        <v>1</v>
      </c>
      <c r="E449" s="64">
        <v>90298.56</v>
      </c>
    </row>
    <row r="450" spans="1:5" ht="12.75">
      <c r="A450" s="51" t="s">
        <v>177</v>
      </c>
      <c r="B450" s="8" t="s">
        <v>160</v>
      </c>
      <c r="C450" s="32"/>
      <c r="D450" s="6" t="s">
        <v>2</v>
      </c>
      <c r="E450" s="77">
        <v>0.255</v>
      </c>
    </row>
    <row r="451" spans="1:5" ht="12.75">
      <c r="A451" s="51"/>
      <c r="B451" s="9"/>
      <c r="C451" s="32"/>
      <c r="D451" s="6" t="s">
        <v>3</v>
      </c>
      <c r="E451" s="64">
        <v>1</v>
      </c>
    </row>
    <row r="452" spans="1:5" ht="12.75">
      <c r="A452" s="51"/>
      <c r="B452" s="3"/>
      <c r="C452" s="32"/>
      <c r="D452" s="6" t="s">
        <v>1</v>
      </c>
      <c r="E452" s="64">
        <v>197191.97</v>
      </c>
    </row>
    <row r="453" spans="1:5" ht="12.75">
      <c r="A453" s="51" t="s">
        <v>177</v>
      </c>
      <c r="B453" s="8" t="s">
        <v>161</v>
      </c>
      <c r="C453" s="32"/>
      <c r="D453" s="6" t="s">
        <v>2</v>
      </c>
      <c r="E453" s="77">
        <v>0.402</v>
      </c>
    </row>
    <row r="454" spans="1:5" ht="12.75">
      <c r="A454" s="51"/>
      <c r="B454" s="9"/>
      <c r="C454" s="32"/>
      <c r="D454" s="6" t="s">
        <v>3</v>
      </c>
      <c r="E454" s="64">
        <v>1</v>
      </c>
    </row>
    <row r="455" spans="1:5" ht="12.75">
      <c r="A455" s="51"/>
      <c r="B455" s="9"/>
      <c r="C455" s="32"/>
      <c r="D455" s="6" t="s">
        <v>1</v>
      </c>
      <c r="E455" s="64">
        <v>202597.82</v>
      </c>
    </row>
    <row r="456" spans="1:5" ht="12.75">
      <c r="A456" s="51" t="s">
        <v>177</v>
      </c>
      <c r="B456" s="8" t="s">
        <v>162</v>
      </c>
      <c r="C456" s="42"/>
      <c r="D456" s="6" t="s">
        <v>2</v>
      </c>
      <c r="E456" s="77">
        <f>0.131</f>
        <v>0.131</v>
      </c>
    </row>
    <row r="457" spans="1:5" ht="12.75">
      <c r="A457" s="88"/>
      <c r="B457" s="22"/>
      <c r="C457" s="42"/>
      <c r="D457" s="41" t="s">
        <v>3</v>
      </c>
      <c r="E457" s="64">
        <v>1</v>
      </c>
    </row>
    <row r="458" spans="1:5" ht="12.75">
      <c r="A458" s="90"/>
      <c r="B458" s="31"/>
      <c r="C458" s="42"/>
      <c r="D458" s="6" t="s">
        <v>1</v>
      </c>
      <c r="E458" s="64">
        <v>126843.34</v>
      </c>
    </row>
    <row r="459" spans="1:5" ht="12.75">
      <c r="A459" s="79" t="s">
        <v>177</v>
      </c>
      <c r="B459" s="32" t="s">
        <v>163</v>
      </c>
      <c r="C459" s="32"/>
      <c r="D459" s="6" t="s">
        <v>2</v>
      </c>
      <c r="E459" s="77">
        <v>0.075</v>
      </c>
    </row>
    <row r="460" spans="1:5" ht="12.75">
      <c r="A460" s="79"/>
      <c r="B460" s="45"/>
      <c r="C460" s="32"/>
      <c r="D460" s="41" t="s">
        <v>3</v>
      </c>
      <c r="E460" s="64">
        <v>1</v>
      </c>
    </row>
    <row r="461" spans="1:5" ht="12.75">
      <c r="A461" s="79"/>
      <c r="B461" s="45"/>
      <c r="C461" s="32"/>
      <c r="D461" s="41" t="s">
        <v>1</v>
      </c>
      <c r="E461" s="64">
        <v>71250.48</v>
      </c>
    </row>
    <row r="462" spans="1:5" ht="12.75">
      <c r="A462" s="79" t="s">
        <v>177</v>
      </c>
      <c r="B462" s="32" t="s">
        <v>164</v>
      </c>
      <c r="C462" s="32"/>
      <c r="D462" s="6" t="s">
        <v>2</v>
      </c>
      <c r="E462" s="77">
        <f>0.14+0.227</f>
        <v>0.367</v>
      </c>
    </row>
    <row r="463" spans="1:5" ht="12.75">
      <c r="A463" s="79"/>
      <c r="B463" s="32"/>
      <c r="C463" s="32"/>
      <c r="D463" s="6" t="s">
        <v>3</v>
      </c>
      <c r="E463" s="64">
        <v>1</v>
      </c>
    </row>
    <row r="464" spans="1:5" ht="12.75">
      <c r="A464" s="51"/>
      <c r="B464" s="3"/>
      <c r="C464" s="32"/>
      <c r="D464" s="6" t="s">
        <v>1</v>
      </c>
      <c r="E464" s="64">
        <v>271884.2</v>
      </c>
    </row>
    <row r="465" spans="1:5" ht="12.75">
      <c r="A465" s="51"/>
      <c r="B465" s="3"/>
      <c r="C465" s="32"/>
      <c r="D465" s="6"/>
      <c r="E465" s="64"/>
    </row>
    <row r="466" spans="1:5" ht="12.75">
      <c r="A466" s="190" t="s">
        <v>229</v>
      </c>
      <c r="B466" s="191"/>
      <c r="C466" s="191"/>
      <c r="D466" s="191"/>
      <c r="E466" s="192"/>
    </row>
    <row r="467" spans="1:5" ht="12.75">
      <c r="A467" s="51"/>
      <c r="B467" s="3"/>
      <c r="C467" s="32"/>
      <c r="D467" s="6"/>
      <c r="E467" s="64"/>
    </row>
    <row r="468" spans="1:5" ht="12.75">
      <c r="A468" s="144" t="s">
        <v>230</v>
      </c>
      <c r="B468" s="3" t="s">
        <v>231</v>
      </c>
      <c r="C468" s="45" t="s">
        <v>232</v>
      </c>
      <c r="D468" s="6"/>
      <c r="E468" s="145">
        <v>328488</v>
      </c>
    </row>
    <row r="469" spans="1:5" ht="12.75">
      <c r="A469" s="51"/>
      <c r="B469" s="3"/>
      <c r="C469" s="32"/>
      <c r="D469" s="6"/>
      <c r="E469" s="64"/>
    </row>
    <row r="470" spans="1:5" ht="12.75">
      <c r="A470" s="109"/>
      <c r="B470" s="110"/>
      <c r="C470" s="110"/>
      <c r="D470" s="58"/>
      <c r="E470" s="96"/>
    </row>
    <row r="471" spans="1:5" ht="12.75">
      <c r="A471" s="109"/>
      <c r="B471" s="111"/>
      <c r="C471" s="111"/>
      <c r="D471" s="58"/>
      <c r="E471" s="96">
        <f>E22+E87+E161+E170+E183+E194+E204+E237+E241+E191+E468</f>
        <v>21465949.91686</v>
      </c>
    </row>
    <row r="472" spans="1:5" ht="12.75">
      <c r="A472" s="52"/>
      <c r="B472" s="26"/>
      <c r="C472" s="26"/>
      <c r="D472" s="5"/>
      <c r="E472" s="69"/>
    </row>
    <row r="473" spans="1:5" ht="15.75">
      <c r="A473" s="27" t="s">
        <v>5</v>
      </c>
      <c r="B473" s="27"/>
      <c r="C473" s="146" t="s">
        <v>6</v>
      </c>
      <c r="D473" s="5"/>
      <c r="E473" s="70"/>
    </row>
    <row r="474" spans="1:5" ht="15.75">
      <c r="A474" s="10" t="s">
        <v>81</v>
      </c>
      <c r="B474" s="10"/>
      <c r="C474" s="10"/>
      <c r="D474" s="11"/>
      <c r="E474" s="70"/>
    </row>
    <row r="475" ht="12.75">
      <c r="E475" s="72">
        <f>E471/1.18</f>
        <v>18191482.98038983</v>
      </c>
    </row>
    <row r="476" ht="12.75">
      <c r="E476" s="71"/>
    </row>
    <row r="477" ht="12.75">
      <c r="E477" s="71">
        <f>24518730+6756870-97980</f>
        <v>31177620</v>
      </c>
    </row>
    <row r="478" ht="12.75">
      <c r="E478" s="71">
        <f>E471-E477</f>
        <v>-9711670.08314</v>
      </c>
    </row>
    <row r="479" ht="12.75">
      <c r="E479" s="71"/>
    </row>
    <row r="480" spans="3:7" ht="12.75">
      <c r="C480" s="1" t="s">
        <v>219</v>
      </c>
      <c r="E480" s="71">
        <f>E5</f>
        <v>9717.11686</v>
      </c>
      <c r="F480">
        <f>6494620+2464690+401670+356030</f>
        <v>9717010</v>
      </c>
      <c r="G480" s="143">
        <f>F480-E480</f>
        <v>9707292.88314</v>
      </c>
    </row>
    <row r="481" spans="2:7" ht="12.75">
      <c r="B481" s="4"/>
      <c r="C481" s="4" t="s">
        <v>220</v>
      </c>
      <c r="D481" s="7"/>
      <c r="E481" s="71">
        <f>E191</f>
        <v>761591.3</v>
      </c>
      <c r="F481">
        <f>761840</f>
        <v>761840</v>
      </c>
      <c r="G481" s="143">
        <f aca="true" t="shared" si="0" ref="G481:G490">F481-E481</f>
        <v>248.69999999995343</v>
      </c>
    </row>
    <row r="482" spans="2:7" ht="12.75">
      <c r="B482" s="4"/>
      <c r="C482" s="4" t="s">
        <v>221</v>
      </c>
      <c r="D482" s="7"/>
      <c r="E482" s="71">
        <f>E183</f>
        <v>246020.00000000003</v>
      </c>
      <c r="F482">
        <v>246020</v>
      </c>
      <c r="G482" s="143">
        <f t="shared" si="0"/>
        <v>0</v>
      </c>
    </row>
    <row r="483" spans="2:7" ht="12.75">
      <c r="B483" s="4"/>
      <c r="C483" s="4" t="s">
        <v>222</v>
      </c>
      <c r="D483" s="7"/>
      <c r="E483" s="71">
        <f>E241</f>
        <v>16764129.999999998</v>
      </c>
      <c r="F483">
        <f>12899990+3864140</f>
        <v>16764130</v>
      </c>
      <c r="G483" s="143">
        <f t="shared" si="0"/>
        <v>0</v>
      </c>
    </row>
    <row r="484" spans="3:7" ht="12.75">
      <c r="C484" s="1" t="s">
        <v>223</v>
      </c>
      <c r="E484" s="72">
        <f>E170</f>
        <v>43112.88</v>
      </c>
      <c r="F484">
        <v>43130</v>
      </c>
      <c r="G484" s="143">
        <f t="shared" si="0"/>
        <v>17.12000000000262</v>
      </c>
    </row>
    <row r="485" spans="3:7" ht="12.75">
      <c r="C485" s="1" t="s">
        <v>224</v>
      </c>
      <c r="E485" s="72">
        <f>E237</f>
        <v>996933.1500000001</v>
      </c>
      <c r="F485">
        <f>924900+72010</f>
        <v>996910</v>
      </c>
      <c r="G485" s="143">
        <f t="shared" si="0"/>
        <v>-23.1500000001397</v>
      </c>
    </row>
    <row r="486" spans="3:7" ht="12.75">
      <c r="C486" s="1" t="s">
        <v>225</v>
      </c>
      <c r="E486" s="72">
        <f>E204</f>
        <v>2290070</v>
      </c>
      <c r="F486">
        <v>2290070</v>
      </c>
      <c r="G486" s="143">
        <f t="shared" si="0"/>
        <v>0</v>
      </c>
    </row>
    <row r="487" spans="3:7" ht="12.75">
      <c r="C487" s="1" t="s">
        <v>226</v>
      </c>
      <c r="E487" s="72">
        <f>E194</f>
        <v>25887.47</v>
      </c>
      <c r="F487">
        <v>25887.47</v>
      </c>
      <c r="G487" s="143">
        <f t="shared" si="0"/>
        <v>0</v>
      </c>
    </row>
    <row r="488" spans="3:7" ht="12.75">
      <c r="C488" s="1" t="s">
        <v>227</v>
      </c>
      <c r="E488" s="72">
        <v>328480</v>
      </c>
      <c r="F488" s="72">
        <v>328480</v>
      </c>
      <c r="G488" s="143">
        <f t="shared" si="0"/>
        <v>0</v>
      </c>
    </row>
    <row r="489" ht="12.75">
      <c r="G489" s="143">
        <f t="shared" si="0"/>
        <v>0</v>
      </c>
    </row>
    <row r="490" spans="5:7" ht="12.75">
      <c r="E490" s="72">
        <f>SUM(E480:E489)</f>
        <v>21465941.916859996</v>
      </c>
      <c r="F490" s="82">
        <f>SUM(F480:F489)</f>
        <v>31173477.47</v>
      </c>
      <c r="G490" s="143">
        <f t="shared" si="0"/>
        <v>9707535.553140003</v>
      </c>
    </row>
  </sheetData>
  <sheetProtection/>
  <mergeCells count="2">
    <mergeCell ref="A1:E1"/>
    <mergeCell ref="A466:E46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127">
      <selection activeCell="H138" sqref="H138"/>
    </sheetView>
  </sheetViews>
  <sheetFormatPr defaultColWidth="9.00390625" defaultRowHeight="12.75"/>
  <cols>
    <col min="1" max="1" width="4.75390625" style="2" customWidth="1"/>
    <col min="2" max="2" width="34.625" style="1" customWidth="1"/>
    <col min="3" max="3" width="22.875" style="1" customWidth="1"/>
    <col min="4" max="4" width="10.125" style="2" customWidth="1"/>
    <col min="5" max="5" width="12.875" style="72" customWidth="1"/>
  </cols>
  <sheetData>
    <row r="1" spans="1:5" ht="15.75">
      <c r="A1" s="189"/>
      <c r="B1" s="189"/>
      <c r="C1" s="189"/>
      <c r="D1" s="189"/>
      <c r="E1" s="1"/>
    </row>
    <row r="2" spans="1:5" ht="60" customHeight="1">
      <c r="A2" s="193" t="s">
        <v>489</v>
      </c>
      <c r="B2" s="193"/>
      <c r="C2" s="193"/>
      <c r="D2" s="193"/>
      <c r="E2" s="193"/>
    </row>
    <row r="3" spans="1:5" ht="31.5">
      <c r="A3" s="46"/>
      <c r="B3" s="47" t="s">
        <v>111</v>
      </c>
      <c r="C3" s="47" t="s">
        <v>0</v>
      </c>
      <c r="D3" s="47"/>
      <c r="E3" s="60" t="s">
        <v>233</v>
      </c>
    </row>
    <row r="4" spans="1:5" ht="15.75">
      <c r="A4" s="46"/>
      <c r="B4" s="47"/>
      <c r="C4" s="47"/>
      <c r="D4" s="47"/>
      <c r="E4" s="147">
        <f>E67+E138+E212</f>
        <v>1.9989999999999994</v>
      </c>
    </row>
    <row r="5" spans="1:5" ht="15.75">
      <c r="A5" s="46"/>
      <c r="B5" s="47"/>
      <c r="C5" s="47"/>
      <c r="D5" s="47"/>
      <c r="E5" s="148">
        <f>E68+E139+E213</f>
        <v>553.94</v>
      </c>
    </row>
    <row r="6" spans="1:5" ht="12.75">
      <c r="A6" s="49"/>
      <c r="B6" s="28"/>
      <c r="C6" s="28"/>
      <c r="D6" s="29"/>
      <c r="E6" s="61"/>
    </row>
    <row r="7" spans="1:5" ht="12.75">
      <c r="A7" s="48"/>
      <c r="B7" s="12" t="s">
        <v>423</v>
      </c>
      <c r="C7" s="137" t="s">
        <v>113</v>
      </c>
      <c r="D7" s="30" t="s">
        <v>2</v>
      </c>
      <c r="E7" s="134">
        <v>0.001</v>
      </c>
    </row>
    <row r="8" spans="1:5" ht="12.75">
      <c r="A8" s="48"/>
      <c r="B8" s="20"/>
      <c r="C8" s="16"/>
      <c r="D8" s="30" t="s">
        <v>1</v>
      </c>
      <c r="E8" s="134">
        <v>0.11</v>
      </c>
    </row>
    <row r="9" spans="1:5" ht="12.75">
      <c r="A9" s="48"/>
      <c r="B9" s="16" t="s">
        <v>395</v>
      </c>
      <c r="C9" s="137" t="s">
        <v>113</v>
      </c>
      <c r="D9" s="30" t="s">
        <v>2</v>
      </c>
      <c r="E9" s="131">
        <v>0.018</v>
      </c>
    </row>
    <row r="10" spans="1:5" ht="12.75">
      <c r="A10" s="48"/>
      <c r="B10" s="12"/>
      <c r="C10" s="16"/>
      <c r="D10" s="30" t="s">
        <v>1</v>
      </c>
      <c r="E10" s="132">
        <v>13.08</v>
      </c>
    </row>
    <row r="11" spans="1:5" ht="12.75">
      <c r="A11" s="48"/>
      <c r="B11" s="12" t="s">
        <v>424</v>
      </c>
      <c r="C11" s="137" t="s">
        <v>113</v>
      </c>
      <c r="D11" s="31" t="s">
        <v>2</v>
      </c>
      <c r="E11" s="131">
        <v>0.036</v>
      </c>
    </row>
    <row r="12" spans="1:5" ht="12.75">
      <c r="A12" s="48"/>
      <c r="B12" s="12"/>
      <c r="C12" s="20"/>
      <c r="D12" s="31" t="s">
        <v>1</v>
      </c>
      <c r="E12" s="132">
        <v>26.16</v>
      </c>
    </row>
    <row r="13" spans="1:5" ht="12.75">
      <c r="A13" s="48"/>
      <c r="B13" s="16" t="s">
        <v>425</v>
      </c>
      <c r="C13" s="137" t="s">
        <v>113</v>
      </c>
      <c r="D13" s="30" t="s">
        <v>2</v>
      </c>
      <c r="E13" s="131">
        <v>0.003</v>
      </c>
    </row>
    <row r="14" spans="1:5" ht="12.75">
      <c r="A14" s="48"/>
      <c r="B14" s="12"/>
      <c r="C14" s="16"/>
      <c r="D14" s="30" t="s">
        <v>1</v>
      </c>
      <c r="E14" s="131">
        <v>0.26</v>
      </c>
    </row>
    <row r="15" spans="1:5" ht="12.75">
      <c r="A15" s="48"/>
      <c r="B15" s="12" t="s">
        <v>426</v>
      </c>
      <c r="C15" s="137" t="s">
        <v>113</v>
      </c>
      <c r="D15" s="30" t="s">
        <v>2</v>
      </c>
      <c r="E15" s="131">
        <v>0.003</v>
      </c>
    </row>
    <row r="16" spans="1:5" ht="12.75">
      <c r="A16" s="48"/>
      <c r="B16" s="12"/>
      <c r="C16" s="16"/>
      <c r="D16" s="30" t="s">
        <v>1</v>
      </c>
      <c r="E16" s="131">
        <v>0.26</v>
      </c>
    </row>
    <row r="17" spans="1:5" ht="12.75">
      <c r="A17" s="48"/>
      <c r="B17" s="12" t="s">
        <v>427</v>
      </c>
      <c r="C17" s="137" t="s">
        <v>113</v>
      </c>
      <c r="D17" s="31" t="s">
        <v>2</v>
      </c>
      <c r="E17" s="131">
        <v>0.003</v>
      </c>
    </row>
    <row r="18" spans="1:5" ht="12.75">
      <c r="A18" s="48"/>
      <c r="B18" s="20"/>
      <c r="C18" s="20"/>
      <c r="D18" s="31" t="s">
        <v>1</v>
      </c>
      <c r="E18" s="131">
        <v>0.26</v>
      </c>
    </row>
    <row r="19" spans="1:5" ht="12.75">
      <c r="A19" s="48"/>
      <c r="B19" s="16" t="s">
        <v>429</v>
      </c>
      <c r="C19" s="137" t="s">
        <v>113</v>
      </c>
      <c r="D19" s="30" t="s">
        <v>2</v>
      </c>
      <c r="E19" s="131">
        <v>0.05</v>
      </c>
    </row>
    <row r="20" spans="1:5" ht="12.75" customHeight="1">
      <c r="A20" s="48"/>
      <c r="B20" s="12"/>
      <c r="C20" s="32"/>
      <c r="D20" s="30" t="s">
        <v>1</v>
      </c>
      <c r="E20" s="131">
        <v>10.26</v>
      </c>
    </row>
    <row r="21" spans="1:5" ht="12.75" customHeight="1">
      <c r="A21" s="48"/>
      <c r="B21" s="13" t="s">
        <v>455</v>
      </c>
      <c r="C21" s="137" t="s">
        <v>113</v>
      </c>
      <c r="D21" s="30" t="s">
        <v>2</v>
      </c>
      <c r="E21" s="131">
        <v>0.05</v>
      </c>
    </row>
    <row r="22" spans="1:5" ht="12.75" customHeight="1">
      <c r="A22" s="48"/>
      <c r="B22" s="13"/>
      <c r="C22" s="16"/>
      <c r="D22" s="30" t="s">
        <v>1</v>
      </c>
      <c r="E22" s="132">
        <v>8.08</v>
      </c>
    </row>
    <row r="23" spans="1:5" ht="12.75" customHeight="1">
      <c r="A23" s="48"/>
      <c r="B23" s="24" t="s">
        <v>430</v>
      </c>
      <c r="C23" s="137" t="s">
        <v>113</v>
      </c>
      <c r="D23" s="30" t="s">
        <v>2</v>
      </c>
      <c r="E23" s="131">
        <v>0.02</v>
      </c>
    </row>
    <row r="24" spans="1:5" ht="12.75" customHeight="1">
      <c r="A24" s="48"/>
      <c r="B24" s="24" t="s">
        <v>431</v>
      </c>
      <c r="C24" s="16"/>
      <c r="D24" s="30" t="s">
        <v>1</v>
      </c>
      <c r="E24" s="131">
        <v>1.44</v>
      </c>
    </row>
    <row r="25" spans="1:5" ht="12.75" customHeight="1">
      <c r="A25" s="48"/>
      <c r="B25" s="24" t="s">
        <v>454</v>
      </c>
      <c r="C25" s="137" t="s">
        <v>113</v>
      </c>
      <c r="D25" s="31" t="s">
        <v>2</v>
      </c>
      <c r="E25" s="131">
        <v>0.07</v>
      </c>
    </row>
    <row r="26" spans="1:5" ht="12.75" customHeight="1">
      <c r="A26" s="48"/>
      <c r="B26" s="24"/>
      <c r="C26" s="20"/>
      <c r="D26" s="31" t="s">
        <v>1</v>
      </c>
      <c r="E26" s="132">
        <v>25.24</v>
      </c>
    </row>
    <row r="27" spans="1:5" ht="12.75" customHeight="1">
      <c r="A27" s="48"/>
      <c r="B27" s="13" t="s">
        <v>456</v>
      </c>
      <c r="C27" s="137" t="s">
        <v>113</v>
      </c>
      <c r="D27" s="30" t="s">
        <v>2</v>
      </c>
      <c r="E27" s="131">
        <v>0.002</v>
      </c>
    </row>
    <row r="28" spans="1:5" ht="12.75" customHeight="1">
      <c r="A28" s="48"/>
      <c r="B28" s="17"/>
      <c r="C28" s="16"/>
      <c r="D28" s="30" t="s">
        <v>1</v>
      </c>
      <c r="E28" s="132">
        <v>0.62</v>
      </c>
    </row>
    <row r="29" spans="1:5" ht="12.75" customHeight="1">
      <c r="A29" s="48"/>
      <c r="B29" s="13" t="s">
        <v>457</v>
      </c>
      <c r="C29" s="137" t="s">
        <v>113</v>
      </c>
      <c r="D29" s="30" t="s">
        <v>2</v>
      </c>
      <c r="E29" s="131">
        <v>0.006</v>
      </c>
    </row>
    <row r="30" spans="1:5" ht="12.75" customHeight="1">
      <c r="A30" s="48"/>
      <c r="B30" s="12"/>
      <c r="C30" s="16"/>
      <c r="D30" s="30" t="s">
        <v>1</v>
      </c>
      <c r="E30" s="132">
        <v>1.86</v>
      </c>
    </row>
    <row r="31" spans="1:5" ht="12.75" customHeight="1">
      <c r="A31" s="48"/>
      <c r="B31" s="13" t="s">
        <v>465</v>
      </c>
      <c r="C31" s="137" t="s">
        <v>113</v>
      </c>
      <c r="D31" s="30" t="s">
        <v>2</v>
      </c>
      <c r="E31" s="131">
        <v>0.003</v>
      </c>
    </row>
    <row r="32" spans="1:5" ht="12.75" customHeight="1">
      <c r="A32" s="48"/>
      <c r="B32" s="12"/>
      <c r="C32" s="16"/>
      <c r="D32" s="30" t="s">
        <v>1</v>
      </c>
      <c r="E32" s="132">
        <f>0.56+0.21</f>
        <v>0.77</v>
      </c>
    </row>
    <row r="33" spans="1:5" ht="12.75" customHeight="1">
      <c r="A33" s="48"/>
      <c r="B33" s="24" t="s">
        <v>454</v>
      </c>
      <c r="C33" s="137" t="s">
        <v>113</v>
      </c>
      <c r="D33" s="30" t="s">
        <v>2</v>
      </c>
      <c r="E33" s="131">
        <v>0.029</v>
      </c>
    </row>
    <row r="34" spans="1:5" ht="12.75" customHeight="1">
      <c r="A34" s="48"/>
      <c r="B34" s="13" t="s">
        <v>466</v>
      </c>
      <c r="C34" s="32"/>
      <c r="D34" s="30" t="s">
        <v>1</v>
      </c>
      <c r="E34" s="132">
        <v>11.9</v>
      </c>
    </row>
    <row r="35" spans="1:5" ht="12.75" customHeight="1">
      <c r="A35" s="48"/>
      <c r="B35" s="24" t="s">
        <v>467</v>
      </c>
      <c r="C35" s="137" t="s">
        <v>113</v>
      </c>
      <c r="D35" s="30" t="s">
        <v>2</v>
      </c>
      <c r="E35" s="131">
        <v>0.007</v>
      </c>
    </row>
    <row r="36" spans="1:5" ht="12.75" customHeight="1">
      <c r="A36" s="48"/>
      <c r="B36" s="24" t="s">
        <v>468</v>
      </c>
      <c r="C36" s="32"/>
      <c r="D36" s="30" t="s">
        <v>1</v>
      </c>
      <c r="E36" s="132">
        <v>1.72</v>
      </c>
    </row>
    <row r="37" spans="1:5" ht="12.75" customHeight="1">
      <c r="A37" s="48"/>
      <c r="B37" s="24" t="s">
        <v>469</v>
      </c>
      <c r="C37" s="137" t="s">
        <v>113</v>
      </c>
      <c r="D37" s="30" t="s">
        <v>2</v>
      </c>
      <c r="E37" s="131">
        <v>0.007</v>
      </c>
    </row>
    <row r="38" spans="1:5" ht="12.75" customHeight="1">
      <c r="A38" s="48"/>
      <c r="B38" s="24" t="s">
        <v>468</v>
      </c>
      <c r="C38" s="16"/>
      <c r="D38" s="30" t="s">
        <v>1</v>
      </c>
      <c r="E38" s="132">
        <v>1.72</v>
      </c>
    </row>
    <row r="39" spans="1:5" ht="12.75" customHeight="1">
      <c r="A39" s="48"/>
      <c r="B39" s="24" t="s">
        <v>470</v>
      </c>
      <c r="C39" s="137" t="s">
        <v>113</v>
      </c>
      <c r="D39" s="30" t="s">
        <v>2</v>
      </c>
      <c r="E39" s="131">
        <v>0.007</v>
      </c>
    </row>
    <row r="40" spans="1:5" ht="12.75" customHeight="1">
      <c r="A40" s="48"/>
      <c r="B40" s="24" t="s">
        <v>468</v>
      </c>
      <c r="C40" s="16"/>
      <c r="D40" s="30" t="s">
        <v>1</v>
      </c>
      <c r="E40" s="132">
        <v>1.72</v>
      </c>
    </row>
    <row r="41" spans="1:5" ht="12.75" customHeight="1">
      <c r="A41" s="48"/>
      <c r="B41" s="24" t="s">
        <v>471</v>
      </c>
      <c r="C41" s="137" t="s">
        <v>113</v>
      </c>
      <c r="D41" s="31" t="s">
        <v>2</v>
      </c>
      <c r="E41" s="131">
        <v>0.007</v>
      </c>
    </row>
    <row r="42" spans="1:5" ht="12.75" customHeight="1">
      <c r="A42" s="48"/>
      <c r="B42" s="24" t="s">
        <v>468</v>
      </c>
      <c r="C42" s="20"/>
      <c r="D42" s="31" t="s">
        <v>1</v>
      </c>
      <c r="E42" s="132">
        <v>1.72</v>
      </c>
    </row>
    <row r="43" spans="1:5" ht="12.75" customHeight="1">
      <c r="A43" s="48"/>
      <c r="B43" s="24" t="s">
        <v>472</v>
      </c>
      <c r="C43" s="137" t="s">
        <v>113</v>
      </c>
      <c r="D43" s="30" t="s">
        <v>2</v>
      </c>
      <c r="E43" s="131">
        <v>0.007</v>
      </c>
    </row>
    <row r="44" spans="1:5" ht="12.75" customHeight="1">
      <c r="A44" s="48"/>
      <c r="B44" s="24" t="s">
        <v>468</v>
      </c>
      <c r="C44" s="16"/>
      <c r="D44" s="30" t="s">
        <v>1</v>
      </c>
      <c r="E44" s="132">
        <v>1.72</v>
      </c>
    </row>
    <row r="45" spans="1:5" ht="12.75" customHeight="1">
      <c r="A45" s="48"/>
      <c r="B45" s="12" t="s">
        <v>473</v>
      </c>
      <c r="C45" s="137" t="s">
        <v>113</v>
      </c>
      <c r="D45" s="30" t="s">
        <v>2</v>
      </c>
      <c r="E45" s="131">
        <v>0.007</v>
      </c>
    </row>
    <row r="46" spans="1:5" ht="12.75" customHeight="1">
      <c r="A46" s="48"/>
      <c r="B46" s="24" t="s">
        <v>468</v>
      </c>
      <c r="C46" s="16"/>
      <c r="D46" s="30" t="s">
        <v>1</v>
      </c>
      <c r="E46" s="132">
        <v>1.72</v>
      </c>
    </row>
    <row r="47" spans="1:5" ht="12.75" customHeight="1">
      <c r="A47" s="48"/>
      <c r="B47" s="12" t="s">
        <v>268</v>
      </c>
      <c r="C47" s="137" t="s">
        <v>113</v>
      </c>
      <c r="D47" s="30" t="s">
        <v>2</v>
      </c>
      <c r="E47" s="131">
        <v>0.007</v>
      </c>
    </row>
    <row r="48" spans="1:5" ht="12.75" customHeight="1">
      <c r="A48" s="48"/>
      <c r="B48" s="24" t="s">
        <v>468</v>
      </c>
      <c r="C48" s="16"/>
      <c r="D48" s="30" t="s">
        <v>1</v>
      </c>
      <c r="E48" s="132">
        <v>1.72</v>
      </c>
    </row>
    <row r="49" spans="1:5" ht="12.75" customHeight="1">
      <c r="A49" s="48"/>
      <c r="B49" s="12" t="s">
        <v>474</v>
      </c>
      <c r="C49" s="137" t="s">
        <v>113</v>
      </c>
      <c r="D49" s="31" t="s">
        <v>2</v>
      </c>
      <c r="E49" s="131">
        <v>0.006</v>
      </c>
    </row>
    <row r="50" spans="1:5" ht="12.75" customHeight="1">
      <c r="A50" s="48"/>
      <c r="B50" s="24" t="s">
        <v>468</v>
      </c>
      <c r="C50" s="16"/>
      <c r="D50" s="31" t="s">
        <v>1</v>
      </c>
      <c r="E50" s="132">
        <v>1.46</v>
      </c>
    </row>
    <row r="51" spans="1:5" ht="12.75" customHeight="1">
      <c r="A51" s="48"/>
      <c r="B51" s="24" t="s">
        <v>469</v>
      </c>
      <c r="C51" s="137" t="s">
        <v>113</v>
      </c>
      <c r="D51" s="30" t="s">
        <v>2</v>
      </c>
      <c r="E51" s="131">
        <v>0.028</v>
      </c>
    </row>
    <row r="52" spans="1:5" ht="12.75" customHeight="1">
      <c r="A52" s="48"/>
      <c r="B52" s="12" t="s">
        <v>475</v>
      </c>
      <c r="C52" s="20"/>
      <c r="D52" s="30" t="s">
        <v>1</v>
      </c>
      <c r="E52" s="132">
        <v>10.78</v>
      </c>
    </row>
    <row r="53" spans="1:5" ht="12.75" customHeight="1">
      <c r="A53" s="48"/>
      <c r="B53" s="24" t="s">
        <v>469</v>
      </c>
      <c r="C53" s="137" t="s">
        <v>113</v>
      </c>
      <c r="D53" s="30" t="s">
        <v>2</v>
      </c>
      <c r="E53" s="131">
        <v>0.005</v>
      </c>
    </row>
    <row r="54" spans="1:5" ht="12.75" customHeight="1">
      <c r="A54" s="48"/>
      <c r="B54" s="12"/>
      <c r="C54" s="16"/>
      <c r="D54" s="30" t="s">
        <v>1</v>
      </c>
      <c r="E54" s="132">
        <v>1.85</v>
      </c>
    </row>
    <row r="55" spans="1:5" ht="12.75" customHeight="1">
      <c r="A55" s="48"/>
      <c r="B55" s="24" t="s">
        <v>476</v>
      </c>
      <c r="C55" s="137" t="s">
        <v>113</v>
      </c>
      <c r="D55" s="31" t="s">
        <v>2</v>
      </c>
      <c r="E55" s="131">
        <v>0.003</v>
      </c>
    </row>
    <row r="56" spans="1:5" ht="12.75" customHeight="1">
      <c r="A56" s="48"/>
      <c r="B56" s="24" t="s">
        <v>477</v>
      </c>
      <c r="C56" s="16"/>
      <c r="D56" s="31" t="s">
        <v>1</v>
      </c>
      <c r="E56" s="132">
        <v>3.32</v>
      </c>
    </row>
    <row r="57" spans="1:5" ht="12.75" customHeight="1">
      <c r="A57" s="48"/>
      <c r="B57" s="24" t="s">
        <v>431</v>
      </c>
      <c r="C57" s="137" t="s">
        <v>113</v>
      </c>
      <c r="D57" s="30" t="s">
        <v>2</v>
      </c>
      <c r="E57" s="131">
        <v>0.063</v>
      </c>
    </row>
    <row r="58" spans="1:5" ht="12.75" customHeight="1">
      <c r="A58" s="48"/>
      <c r="B58" s="24"/>
      <c r="C58" s="20"/>
      <c r="D58" s="30" t="s">
        <v>1</v>
      </c>
      <c r="E58" s="132">
        <v>6.79</v>
      </c>
    </row>
    <row r="59" spans="1:5" ht="12.75" customHeight="1">
      <c r="A59" s="48"/>
      <c r="B59" s="24" t="s">
        <v>480</v>
      </c>
      <c r="C59" s="137" t="s">
        <v>113</v>
      </c>
      <c r="D59" s="30" t="s">
        <v>2</v>
      </c>
      <c r="E59" s="131">
        <v>0.001</v>
      </c>
    </row>
    <row r="60" spans="1:5" ht="12.75" customHeight="1">
      <c r="A60" s="48"/>
      <c r="B60" s="24" t="s">
        <v>431</v>
      </c>
      <c r="C60" s="16"/>
      <c r="D60" s="30" t="s">
        <v>1</v>
      </c>
      <c r="E60" s="131">
        <v>0.16</v>
      </c>
    </row>
    <row r="61" spans="1:5" ht="12.75" customHeight="1">
      <c r="A61" s="48"/>
      <c r="B61" s="24" t="s">
        <v>481</v>
      </c>
      <c r="C61" s="137" t="s">
        <v>113</v>
      </c>
      <c r="D61" s="31" t="s">
        <v>2</v>
      </c>
      <c r="E61" s="131">
        <v>0.001</v>
      </c>
    </row>
    <row r="62" spans="1:5" ht="12.75" customHeight="1">
      <c r="A62" s="48"/>
      <c r="B62" s="24" t="s">
        <v>431</v>
      </c>
      <c r="C62" s="16"/>
      <c r="D62" s="31" t="s">
        <v>1</v>
      </c>
      <c r="E62" s="131">
        <v>0.16</v>
      </c>
    </row>
    <row r="63" spans="1:5" ht="12.75" customHeight="1">
      <c r="A63" s="48"/>
      <c r="B63" s="24" t="s">
        <v>482</v>
      </c>
      <c r="C63" s="137" t="s">
        <v>113</v>
      </c>
      <c r="D63" s="30" t="s">
        <v>2</v>
      </c>
      <c r="E63" s="131">
        <v>0.001</v>
      </c>
    </row>
    <row r="64" spans="1:5" ht="12.75" customHeight="1">
      <c r="A64" s="48"/>
      <c r="B64" s="24" t="s">
        <v>483</v>
      </c>
      <c r="C64" s="20"/>
      <c r="D64" s="30" t="s">
        <v>1</v>
      </c>
      <c r="E64" s="131">
        <v>0.48</v>
      </c>
    </row>
    <row r="65" spans="1:5" ht="12.75" customHeight="1">
      <c r="A65" s="48"/>
      <c r="B65" s="24" t="s">
        <v>497</v>
      </c>
      <c r="C65" s="137" t="s">
        <v>113</v>
      </c>
      <c r="D65" s="30" t="s">
        <v>2</v>
      </c>
      <c r="E65" s="131">
        <v>0.04</v>
      </c>
    </row>
    <row r="66" spans="1:5" ht="12.75" customHeight="1">
      <c r="A66" s="48"/>
      <c r="B66" s="12"/>
      <c r="C66" s="20"/>
      <c r="D66" s="30" t="s">
        <v>1</v>
      </c>
      <c r="E66" s="131">
        <v>15.31</v>
      </c>
    </row>
    <row r="67" spans="1:5" ht="12.75">
      <c r="A67" s="38"/>
      <c r="B67" s="33"/>
      <c r="C67" s="33" t="s">
        <v>113</v>
      </c>
      <c r="D67" s="34" t="s">
        <v>2</v>
      </c>
      <c r="E67" s="80">
        <f>E7+E9+E11+E13+E15+E17+E19+E21+E23+E25+E27+E29+E31+E33+E35+E37+E39+E41+E43+E45+E47+E49+E51+E53+E55+E57+E59+E61+E63+E65</f>
        <v>0.4910000000000001</v>
      </c>
    </row>
    <row r="68" spans="1:5" ht="12.75">
      <c r="A68" s="50"/>
      <c r="B68" s="35"/>
      <c r="C68" s="35"/>
      <c r="D68" s="34" t="s">
        <v>1</v>
      </c>
      <c r="E68" s="80">
        <f>E8+E10+E12+E14+E16+E18+E20+E22+E24+E26+E28+E30+E32+E34+E36+E38+E40+E42+E44+E46+E48+E50+E52+E54+E56+E58+E60+E62+E64+E66</f>
        <v>152.64999999999995</v>
      </c>
    </row>
    <row r="69" spans="1:5" ht="12.75">
      <c r="A69" s="48"/>
      <c r="B69" s="28"/>
      <c r="C69" s="28"/>
      <c r="D69" s="29"/>
      <c r="E69" s="155"/>
    </row>
    <row r="70" spans="1:5" ht="12.75">
      <c r="A70" s="48"/>
      <c r="B70" s="12" t="s">
        <v>417</v>
      </c>
      <c r="C70" s="138" t="s">
        <v>114</v>
      </c>
      <c r="D70" s="30" t="s">
        <v>2</v>
      </c>
      <c r="E70" s="131">
        <v>0.017</v>
      </c>
    </row>
    <row r="71" spans="1:5" ht="12.75">
      <c r="A71" s="48"/>
      <c r="B71" s="13"/>
      <c r="C71" s="13"/>
      <c r="D71" s="30" t="s">
        <v>1</v>
      </c>
      <c r="E71" s="132">
        <v>4.52</v>
      </c>
    </row>
    <row r="72" spans="1:5" ht="12.75">
      <c r="A72" s="48"/>
      <c r="B72" s="12" t="s">
        <v>418</v>
      </c>
      <c r="C72" s="138" t="s">
        <v>114</v>
      </c>
      <c r="D72" s="31" t="s">
        <v>2</v>
      </c>
      <c r="E72" s="131">
        <v>0.003</v>
      </c>
    </row>
    <row r="73" spans="1:5" ht="12.75">
      <c r="A73" s="37"/>
      <c r="B73" s="17"/>
      <c r="C73" s="16"/>
      <c r="D73" s="31" t="s">
        <v>1</v>
      </c>
      <c r="E73" s="132">
        <v>0.43</v>
      </c>
    </row>
    <row r="74" spans="1:5" ht="12.75">
      <c r="A74" s="48"/>
      <c r="B74" s="16" t="s">
        <v>419</v>
      </c>
      <c r="C74" s="138" t="s">
        <v>114</v>
      </c>
      <c r="D74" s="30" t="s">
        <v>2</v>
      </c>
      <c r="E74" s="134">
        <v>0.006</v>
      </c>
    </row>
    <row r="75" spans="1:5" ht="25.5">
      <c r="A75" s="48"/>
      <c r="B75" s="16" t="s">
        <v>420</v>
      </c>
      <c r="C75" s="12"/>
      <c r="D75" s="30" t="s">
        <v>1</v>
      </c>
      <c r="E75" s="134">
        <v>6.1</v>
      </c>
    </row>
    <row r="76" spans="1:5" ht="12.75">
      <c r="A76" s="48"/>
      <c r="B76" s="16" t="s">
        <v>421</v>
      </c>
      <c r="C76" s="139" t="s">
        <v>64</v>
      </c>
      <c r="D76" s="31" t="s">
        <v>2</v>
      </c>
      <c r="E76" s="134">
        <v>0.002</v>
      </c>
    </row>
    <row r="77" spans="1:5" ht="12.75">
      <c r="A77" s="48"/>
      <c r="B77" s="17"/>
      <c r="C77" s="16"/>
      <c r="D77" s="31" t="s">
        <v>1</v>
      </c>
      <c r="E77" s="134">
        <v>0.21</v>
      </c>
    </row>
    <row r="78" spans="1:5" ht="12.75">
      <c r="A78" s="48"/>
      <c r="B78" s="16" t="s">
        <v>422</v>
      </c>
      <c r="C78" s="139" t="s">
        <v>64</v>
      </c>
      <c r="D78" s="30" t="s">
        <v>2</v>
      </c>
      <c r="E78" s="134">
        <v>0.011</v>
      </c>
    </row>
    <row r="79" spans="1:5" ht="12.75">
      <c r="A79" s="48"/>
      <c r="B79" s="36"/>
      <c r="C79" s="139"/>
      <c r="D79" s="30" t="s">
        <v>1</v>
      </c>
      <c r="E79" s="134">
        <v>0.55</v>
      </c>
    </row>
    <row r="80" spans="1:5" ht="12.75">
      <c r="A80" s="48"/>
      <c r="B80" s="13" t="s">
        <v>428</v>
      </c>
      <c r="C80" s="139" t="s">
        <v>64</v>
      </c>
      <c r="D80" s="30" t="s">
        <v>2</v>
      </c>
      <c r="E80" s="131">
        <v>0.21</v>
      </c>
    </row>
    <row r="81" spans="1:5" ht="12.75">
      <c r="A81" s="48"/>
      <c r="B81" s="16"/>
      <c r="C81" s="139"/>
      <c r="D81" s="30" t="s">
        <v>1</v>
      </c>
      <c r="E81" s="131">
        <v>53.71</v>
      </c>
    </row>
    <row r="82" spans="1:5" ht="12.75">
      <c r="A82" s="48"/>
      <c r="B82" s="13" t="s">
        <v>432</v>
      </c>
      <c r="C82" s="139" t="s">
        <v>64</v>
      </c>
      <c r="D82" s="30" t="s">
        <v>2</v>
      </c>
      <c r="E82" s="133">
        <v>0.005</v>
      </c>
    </row>
    <row r="83" spans="1:5" ht="25.5">
      <c r="A83" s="48"/>
      <c r="B83" s="17" t="s">
        <v>433</v>
      </c>
      <c r="C83" s="17"/>
      <c r="D83" s="31" t="s">
        <v>1</v>
      </c>
      <c r="E83" s="135">
        <v>1.29</v>
      </c>
    </row>
    <row r="84" spans="1:5" ht="12.75">
      <c r="A84" s="48"/>
      <c r="B84" s="13" t="s">
        <v>434</v>
      </c>
      <c r="C84" s="138" t="s">
        <v>114</v>
      </c>
      <c r="D84" s="30" t="s">
        <v>2</v>
      </c>
      <c r="E84" s="133">
        <v>0.01</v>
      </c>
    </row>
    <row r="85" spans="1:5" ht="25.5">
      <c r="A85" s="48"/>
      <c r="B85" s="17" t="s">
        <v>433</v>
      </c>
      <c r="C85" s="13"/>
      <c r="D85" s="31" t="s">
        <v>1</v>
      </c>
      <c r="E85" s="135">
        <v>2.59</v>
      </c>
    </row>
    <row r="86" spans="1:5" ht="12.75">
      <c r="A86" s="48"/>
      <c r="B86" s="13" t="s">
        <v>435</v>
      </c>
      <c r="C86" s="138" t="s">
        <v>114</v>
      </c>
      <c r="D86" s="30" t="s">
        <v>2</v>
      </c>
      <c r="E86" s="133">
        <v>0.005</v>
      </c>
    </row>
    <row r="87" spans="1:5" ht="25.5">
      <c r="A87" s="48"/>
      <c r="B87" s="17" t="s">
        <v>433</v>
      </c>
      <c r="C87" s="16"/>
      <c r="D87" s="31" t="s">
        <v>1</v>
      </c>
      <c r="E87" s="135">
        <v>1.29</v>
      </c>
    </row>
    <row r="88" spans="1:5" ht="12.75">
      <c r="A88" s="48"/>
      <c r="B88" s="13" t="s">
        <v>436</v>
      </c>
      <c r="C88" s="138" t="s">
        <v>114</v>
      </c>
      <c r="D88" s="31" t="s">
        <v>2</v>
      </c>
      <c r="E88" s="131">
        <v>0.002</v>
      </c>
    </row>
    <row r="89" spans="1:5" ht="12.75">
      <c r="A89" s="48"/>
      <c r="B89" s="17" t="s">
        <v>437</v>
      </c>
      <c r="C89" s="12"/>
      <c r="D89" s="31" t="s">
        <v>1</v>
      </c>
      <c r="E89" s="135">
        <f>0.79+0.22</f>
        <v>1.01</v>
      </c>
    </row>
    <row r="90" spans="1:5" ht="12.75">
      <c r="A90" s="48"/>
      <c r="B90" s="13" t="s">
        <v>435</v>
      </c>
      <c r="C90" s="139" t="s">
        <v>64</v>
      </c>
      <c r="D90" s="30" t="s">
        <v>2</v>
      </c>
      <c r="E90" s="133">
        <v>0.005</v>
      </c>
    </row>
    <row r="91" spans="1:5" ht="25.5">
      <c r="A91" s="48"/>
      <c r="B91" s="17" t="s">
        <v>433</v>
      </c>
      <c r="C91" s="16"/>
      <c r="D91" s="30" t="s">
        <v>1</v>
      </c>
      <c r="E91" s="135">
        <v>1.29</v>
      </c>
    </row>
    <row r="92" spans="1:5" ht="12.75">
      <c r="A92" s="48"/>
      <c r="B92" s="24" t="s">
        <v>430</v>
      </c>
      <c r="C92" s="139" t="s">
        <v>64</v>
      </c>
      <c r="D92" s="30" t="s">
        <v>2</v>
      </c>
      <c r="E92" s="131">
        <v>0.02</v>
      </c>
    </row>
    <row r="93" spans="1:5" ht="12.75">
      <c r="A93" s="48"/>
      <c r="B93" s="24" t="s">
        <v>431</v>
      </c>
      <c r="C93" s="13"/>
      <c r="D93" s="30" t="s">
        <v>1</v>
      </c>
      <c r="E93" s="131">
        <v>1.44</v>
      </c>
    </row>
    <row r="94" spans="1:5" ht="12.75">
      <c r="A94" s="48"/>
      <c r="B94" s="13" t="s">
        <v>438</v>
      </c>
      <c r="C94" s="139" t="s">
        <v>64</v>
      </c>
      <c r="D94" s="30" t="s">
        <v>2</v>
      </c>
      <c r="E94" s="133">
        <v>0.113</v>
      </c>
    </row>
    <row r="95" spans="1:5" ht="12.75">
      <c r="A95" s="48"/>
      <c r="B95" s="13"/>
      <c r="C95" s="13"/>
      <c r="D95" s="30" t="s">
        <v>1</v>
      </c>
      <c r="E95" s="132">
        <v>26.06</v>
      </c>
    </row>
    <row r="96" spans="1:5" ht="12.75">
      <c r="A96" s="48"/>
      <c r="B96" s="13" t="s">
        <v>439</v>
      </c>
      <c r="C96" s="138" t="s">
        <v>114</v>
      </c>
      <c r="D96" s="30" t="s">
        <v>2</v>
      </c>
      <c r="E96" s="131">
        <v>0.005</v>
      </c>
    </row>
    <row r="97" spans="1:5" ht="12.75">
      <c r="A97" s="48"/>
      <c r="B97" s="13"/>
      <c r="C97" s="13"/>
      <c r="D97" s="30" t="s">
        <v>1</v>
      </c>
      <c r="E97" s="131">
        <v>1.15</v>
      </c>
    </row>
    <row r="98" spans="1:5" ht="12.75">
      <c r="A98" s="48"/>
      <c r="B98" s="13" t="s">
        <v>440</v>
      </c>
      <c r="C98" s="138" t="s">
        <v>114</v>
      </c>
      <c r="D98" s="30" t="s">
        <v>2</v>
      </c>
      <c r="E98" s="131">
        <v>0.235</v>
      </c>
    </row>
    <row r="99" spans="1:5" ht="12.75">
      <c r="A99" s="48"/>
      <c r="B99" s="24"/>
      <c r="C99" s="137"/>
      <c r="D99" s="30" t="s">
        <v>1</v>
      </c>
      <c r="E99" s="132">
        <v>63.22</v>
      </c>
    </row>
    <row r="100" spans="1:5" ht="12.75">
      <c r="A100" s="48"/>
      <c r="B100" s="13" t="s">
        <v>441</v>
      </c>
      <c r="C100" s="138" t="s">
        <v>114</v>
      </c>
      <c r="D100" s="30" t="s">
        <v>2</v>
      </c>
      <c r="E100" s="131">
        <v>0.009</v>
      </c>
    </row>
    <row r="101" spans="1:5" ht="12.75">
      <c r="A101" s="48"/>
      <c r="B101" s="13" t="s">
        <v>442</v>
      </c>
      <c r="C101" s="19"/>
      <c r="D101" s="30" t="s">
        <v>1</v>
      </c>
      <c r="E101" s="132">
        <v>2.4</v>
      </c>
    </row>
    <row r="102" spans="1:5" ht="12.75">
      <c r="A102" s="48"/>
      <c r="B102" s="13" t="s">
        <v>443</v>
      </c>
      <c r="C102" s="139" t="s">
        <v>64</v>
      </c>
      <c r="D102" s="30" t="s">
        <v>2</v>
      </c>
      <c r="E102" s="131">
        <v>0.244</v>
      </c>
    </row>
    <row r="103" spans="1:5" ht="12.75">
      <c r="A103" s="48"/>
      <c r="B103" s="24"/>
      <c r="C103" s="137"/>
      <c r="D103" s="30" t="s">
        <v>1</v>
      </c>
      <c r="E103" s="132">
        <v>65.25</v>
      </c>
    </row>
    <row r="104" spans="1:5" ht="12.75">
      <c r="A104" s="48"/>
      <c r="B104" s="13" t="s">
        <v>444</v>
      </c>
      <c r="C104" s="139" t="s">
        <v>64</v>
      </c>
      <c r="D104" s="30" t="s">
        <v>2</v>
      </c>
      <c r="E104" s="131">
        <v>0.012</v>
      </c>
    </row>
    <row r="105" spans="1:5" ht="12.75">
      <c r="A105" s="48"/>
      <c r="B105" s="24"/>
      <c r="C105" s="139"/>
      <c r="D105" s="31" t="s">
        <v>1</v>
      </c>
      <c r="E105" s="131">
        <v>3.73</v>
      </c>
    </row>
    <row r="106" spans="1:5" ht="12.75">
      <c r="A106" s="48"/>
      <c r="B106" s="13" t="s">
        <v>445</v>
      </c>
      <c r="C106" s="139" t="s">
        <v>64</v>
      </c>
      <c r="D106" s="30" t="s">
        <v>2</v>
      </c>
      <c r="E106" s="131">
        <v>0.001</v>
      </c>
    </row>
    <row r="107" spans="1:5" ht="12.75">
      <c r="A107" s="48"/>
      <c r="B107" s="17" t="s">
        <v>446</v>
      </c>
      <c r="C107" s="17"/>
      <c r="D107" s="31" t="s">
        <v>1</v>
      </c>
      <c r="E107" s="132">
        <v>0.06</v>
      </c>
    </row>
    <row r="108" spans="1:5" ht="12.75">
      <c r="A108" s="48"/>
      <c r="B108" s="13" t="s">
        <v>447</v>
      </c>
      <c r="C108" s="138" t="s">
        <v>114</v>
      </c>
      <c r="D108" s="31" t="s">
        <v>2</v>
      </c>
      <c r="E108" s="131">
        <v>0.005</v>
      </c>
    </row>
    <row r="109" spans="1:5" ht="12.75">
      <c r="A109" s="48"/>
      <c r="B109" s="17" t="s">
        <v>448</v>
      </c>
      <c r="C109" s="139"/>
      <c r="D109" s="31" t="s">
        <v>1</v>
      </c>
      <c r="E109" s="132">
        <v>0.3</v>
      </c>
    </row>
    <row r="110" spans="1:5" ht="12.75">
      <c r="A110" s="48"/>
      <c r="B110" s="13" t="s">
        <v>449</v>
      </c>
      <c r="C110" s="138" t="s">
        <v>114</v>
      </c>
      <c r="D110" s="30" t="s">
        <v>2</v>
      </c>
      <c r="E110" s="131">
        <v>0.002</v>
      </c>
    </row>
    <row r="111" spans="1:5" ht="12.75">
      <c r="A111" s="48"/>
      <c r="B111" s="17" t="s">
        <v>450</v>
      </c>
      <c r="C111" s="137"/>
      <c r="D111" s="30" t="s">
        <v>1</v>
      </c>
      <c r="E111" s="132">
        <v>0.42</v>
      </c>
    </row>
    <row r="112" spans="1:5" ht="12.75">
      <c r="A112" s="48"/>
      <c r="B112" s="13" t="s">
        <v>451</v>
      </c>
      <c r="C112" s="138" t="s">
        <v>114</v>
      </c>
      <c r="D112" s="30" t="s">
        <v>2</v>
      </c>
      <c r="E112" s="133">
        <v>0.004</v>
      </c>
    </row>
    <row r="113" spans="1:5" ht="12.75">
      <c r="A113" s="48"/>
      <c r="B113" s="17"/>
      <c r="C113" s="12"/>
      <c r="D113" s="30" t="s">
        <v>1</v>
      </c>
      <c r="E113" s="131">
        <v>0.13</v>
      </c>
    </row>
    <row r="114" spans="1:5" ht="12.75">
      <c r="A114" s="48"/>
      <c r="B114" s="13" t="s">
        <v>452</v>
      </c>
      <c r="C114" s="139" t="s">
        <v>64</v>
      </c>
      <c r="D114" s="30" t="s">
        <v>2</v>
      </c>
      <c r="E114" s="131">
        <v>0.061</v>
      </c>
    </row>
    <row r="115" spans="1:5" ht="12.75">
      <c r="A115" s="48"/>
      <c r="B115" s="24"/>
      <c r="C115" s="137"/>
      <c r="D115" s="31" t="s">
        <v>1</v>
      </c>
      <c r="E115" s="132">
        <v>16.69</v>
      </c>
    </row>
    <row r="116" spans="1:5" ht="12.75">
      <c r="A116" s="48"/>
      <c r="B116" s="13" t="s">
        <v>453</v>
      </c>
      <c r="C116" s="139" t="s">
        <v>64</v>
      </c>
      <c r="D116" s="31" t="s">
        <v>2</v>
      </c>
      <c r="E116" s="131">
        <v>0.009</v>
      </c>
    </row>
    <row r="117" spans="1:5" ht="12.75">
      <c r="A117" s="48"/>
      <c r="B117" s="13"/>
      <c r="C117" s="139"/>
      <c r="D117" s="31" t="s">
        <v>1</v>
      </c>
      <c r="E117" s="132">
        <v>2.46</v>
      </c>
    </row>
    <row r="118" spans="1:5" ht="12.75">
      <c r="A118" s="48"/>
      <c r="B118" s="13" t="s">
        <v>458</v>
      </c>
      <c r="C118" s="139" t="s">
        <v>64</v>
      </c>
      <c r="D118" s="30" t="s">
        <v>2</v>
      </c>
      <c r="E118" s="131">
        <v>0.003</v>
      </c>
    </row>
    <row r="119" spans="1:5" ht="12.75">
      <c r="A119" s="48"/>
      <c r="B119" s="13" t="s">
        <v>459</v>
      </c>
      <c r="C119" s="13"/>
      <c r="D119" s="31" t="s">
        <v>1</v>
      </c>
      <c r="E119" s="132">
        <v>0.94</v>
      </c>
    </row>
    <row r="120" spans="1:5" ht="12.75">
      <c r="A120" s="48"/>
      <c r="B120" s="13" t="s">
        <v>460</v>
      </c>
      <c r="C120" s="139" t="s">
        <v>64</v>
      </c>
      <c r="D120" s="30" t="s">
        <v>2</v>
      </c>
      <c r="E120" s="131">
        <v>0.003</v>
      </c>
    </row>
    <row r="121" spans="1:5" ht="12.75">
      <c r="A121" s="48"/>
      <c r="B121" s="13" t="s">
        <v>459</v>
      </c>
      <c r="C121" s="13"/>
      <c r="D121" s="30" t="s">
        <v>1</v>
      </c>
      <c r="E121" s="132">
        <v>0.97</v>
      </c>
    </row>
    <row r="122" spans="1:5" ht="12.75">
      <c r="A122" s="48"/>
      <c r="B122" s="13" t="s">
        <v>461</v>
      </c>
      <c r="C122" s="139" t="s">
        <v>64</v>
      </c>
      <c r="D122" s="30" t="s">
        <v>2</v>
      </c>
      <c r="E122" s="131">
        <v>0.061</v>
      </c>
    </row>
    <row r="123" spans="1:5" ht="12.75">
      <c r="A123" s="48"/>
      <c r="B123" s="13"/>
      <c r="C123" s="13"/>
      <c r="D123" s="30" t="s">
        <v>1</v>
      </c>
      <c r="E123" s="132">
        <v>16.81</v>
      </c>
    </row>
    <row r="124" spans="1:5" ht="12.75">
      <c r="A124" s="160"/>
      <c r="B124" s="13" t="s">
        <v>462</v>
      </c>
      <c r="C124" s="139" t="s">
        <v>64</v>
      </c>
      <c r="D124" s="30" t="s">
        <v>2</v>
      </c>
      <c r="E124" s="131">
        <v>0.122</v>
      </c>
    </row>
    <row r="125" spans="1:5" ht="12.75">
      <c r="A125" s="160"/>
      <c r="B125" s="13"/>
      <c r="C125" s="13"/>
      <c r="D125" s="30" t="s">
        <v>1</v>
      </c>
      <c r="E125" s="132">
        <v>33.63</v>
      </c>
    </row>
    <row r="126" spans="1:5" ht="12.75">
      <c r="A126" s="160"/>
      <c r="B126" s="13" t="s">
        <v>463</v>
      </c>
      <c r="C126" s="139" t="s">
        <v>64</v>
      </c>
      <c r="D126" s="30" t="s">
        <v>2</v>
      </c>
      <c r="E126" s="131">
        <v>0.017</v>
      </c>
    </row>
    <row r="127" spans="1:5" ht="12.75">
      <c r="A127" s="160"/>
      <c r="B127" s="12"/>
      <c r="C127" s="13"/>
      <c r="D127" s="30" t="s">
        <v>1</v>
      </c>
      <c r="E127" s="132">
        <v>4.78</v>
      </c>
    </row>
    <row r="128" spans="1:5" ht="12.75">
      <c r="A128" s="160"/>
      <c r="B128" s="13" t="s">
        <v>464</v>
      </c>
      <c r="C128" s="139" t="s">
        <v>64</v>
      </c>
      <c r="D128" s="30" t="s">
        <v>2</v>
      </c>
      <c r="E128" s="131">
        <v>0.165</v>
      </c>
    </row>
    <row r="129" spans="1:5" ht="12.75">
      <c r="A129" s="160"/>
      <c r="B129" s="12"/>
      <c r="C129" s="13"/>
      <c r="D129" s="30" t="s">
        <v>1</v>
      </c>
      <c r="E129" s="132">
        <v>46.35</v>
      </c>
    </row>
    <row r="130" spans="1:5" ht="12.75">
      <c r="A130" s="160"/>
      <c r="B130" s="13" t="s">
        <v>478</v>
      </c>
      <c r="C130" s="139" t="s">
        <v>64</v>
      </c>
      <c r="D130" s="30" t="s">
        <v>2</v>
      </c>
      <c r="E130" s="131">
        <v>0.061</v>
      </c>
    </row>
    <row r="131" spans="1:5" ht="12.75">
      <c r="A131" s="160"/>
      <c r="B131" s="13"/>
      <c r="C131" s="13"/>
      <c r="D131" s="30" t="s">
        <v>1</v>
      </c>
      <c r="E131" s="132">
        <v>17.81</v>
      </c>
    </row>
    <row r="132" spans="1:5" ht="12.75">
      <c r="A132" s="160"/>
      <c r="B132" s="13" t="s">
        <v>479</v>
      </c>
      <c r="C132" s="139" t="s">
        <v>64</v>
      </c>
      <c r="D132" s="30" t="s">
        <v>2</v>
      </c>
      <c r="E132" s="131">
        <v>0.044</v>
      </c>
    </row>
    <row r="133" spans="1:5" ht="12.75">
      <c r="A133" s="160"/>
      <c r="B133" s="12"/>
      <c r="C133" s="13"/>
      <c r="D133" s="30" t="s">
        <v>1</v>
      </c>
      <c r="E133" s="132">
        <v>12.85</v>
      </c>
    </row>
    <row r="134" spans="1:5" ht="12.75">
      <c r="A134" s="160"/>
      <c r="B134" s="13" t="s">
        <v>484</v>
      </c>
      <c r="C134" s="139" t="s">
        <v>64</v>
      </c>
      <c r="D134" s="30" t="s">
        <v>2</v>
      </c>
      <c r="E134" s="131">
        <v>0.008</v>
      </c>
    </row>
    <row r="135" spans="1:5" ht="12.75">
      <c r="A135" s="160"/>
      <c r="B135" s="24" t="s">
        <v>431</v>
      </c>
      <c r="C135" s="13"/>
      <c r="D135" s="30" t="s">
        <v>1</v>
      </c>
      <c r="E135" s="131">
        <v>0.95</v>
      </c>
    </row>
    <row r="136" spans="1:5" ht="12.75">
      <c r="A136" s="160"/>
      <c r="B136" s="24" t="s">
        <v>485</v>
      </c>
      <c r="C136" s="139" t="s">
        <v>64</v>
      </c>
      <c r="D136" s="30" t="s">
        <v>2</v>
      </c>
      <c r="E136" s="131">
        <v>0.001</v>
      </c>
    </row>
    <row r="137" spans="1:5" ht="12.75">
      <c r="A137" s="160"/>
      <c r="B137" s="24" t="s">
        <v>483</v>
      </c>
      <c r="C137" s="13"/>
      <c r="D137" s="30" t="s">
        <v>1</v>
      </c>
      <c r="E137" s="131">
        <v>0.47</v>
      </c>
    </row>
    <row r="138" spans="1:5" ht="12.75">
      <c r="A138" s="55"/>
      <c r="B138" s="56"/>
      <c r="C138" s="56"/>
      <c r="D138" s="57" t="s">
        <v>2</v>
      </c>
      <c r="E138" s="91">
        <f>E70+E72+E74+E76+E78+E80+E82+E84+E86+E88+E90+E92+E94+E96+E98+E100+E102+E104+E106+E108+E110+E112+E114+E116+E27+E29+E118+E120+E122+E124+E136+E126+E128+E130+E132+E134+E136</f>
        <v>1.4899999999999993</v>
      </c>
    </row>
    <row r="139" spans="1:5" ht="12.75">
      <c r="A139" s="55"/>
      <c r="B139" s="56"/>
      <c r="C139" s="56"/>
      <c r="D139" s="57" t="s">
        <v>1</v>
      </c>
      <c r="E139" s="91">
        <f>E71+E73+E75+E77+E79+E81+E83+E85+E87+E89+E91+E93+E95+E97+E99+E101+E103+E105+E107+E109+E111+E113+E115+E117+E28+E30+E119+E121+E123+E125+E137+E127+E129+E131+E133+E135+E137</f>
        <v>394.8100000000001</v>
      </c>
    </row>
    <row r="140" spans="1:5" ht="12.75">
      <c r="A140" s="48"/>
      <c r="B140" s="13" t="s">
        <v>234</v>
      </c>
      <c r="C140" s="139" t="s">
        <v>64</v>
      </c>
      <c r="D140" s="30" t="s">
        <v>2</v>
      </c>
      <c r="E140" s="131">
        <v>0.002</v>
      </c>
    </row>
    <row r="141" spans="1:5" ht="12.75">
      <c r="A141" s="49"/>
      <c r="B141" s="24" t="s">
        <v>483</v>
      </c>
      <c r="C141" s="13"/>
      <c r="D141" s="30" t="s">
        <v>1</v>
      </c>
      <c r="E141" s="131">
        <v>0.94</v>
      </c>
    </row>
    <row r="142" spans="1:5" ht="12.75">
      <c r="A142" s="48"/>
      <c r="B142" s="13" t="s">
        <v>486</v>
      </c>
      <c r="C142" s="139" t="s">
        <v>64</v>
      </c>
      <c r="D142" s="30" t="s">
        <v>2</v>
      </c>
      <c r="E142" s="131">
        <v>0.005</v>
      </c>
    </row>
    <row r="143" spans="1:5" ht="12.75">
      <c r="A143" s="37"/>
      <c r="B143" s="13" t="s">
        <v>487</v>
      </c>
      <c r="C143" s="13"/>
      <c r="D143" s="30" t="s">
        <v>1</v>
      </c>
      <c r="E143" s="131">
        <v>0.55</v>
      </c>
    </row>
    <row r="144" spans="1:5" ht="12.75">
      <c r="A144" s="48"/>
      <c r="B144" s="13" t="s">
        <v>488</v>
      </c>
      <c r="C144" s="139" t="s">
        <v>64</v>
      </c>
      <c r="D144" s="30" t="s">
        <v>2</v>
      </c>
      <c r="E144" s="131">
        <v>0.004</v>
      </c>
    </row>
    <row r="145" spans="1:5" ht="12.75">
      <c r="A145" s="48"/>
      <c r="B145" s="13" t="s">
        <v>477</v>
      </c>
      <c r="C145" s="19"/>
      <c r="D145" s="30" t="s">
        <v>1</v>
      </c>
      <c r="E145" s="132">
        <v>4.44</v>
      </c>
    </row>
    <row r="146" spans="1:5" ht="12.75">
      <c r="A146" s="48"/>
      <c r="B146" s="24" t="s">
        <v>50</v>
      </c>
      <c r="C146" s="139" t="s">
        <v>64</v>
      </c>
      <c r="D146" s="30" t="s">
        <v>2</v>
      </c>
      <c r="E146" s="131">
        <v>0.004</v>
      </c>
    </row>
    <row r="147" spans="1:5" ht="12.75">
      <c r="A147" s="48"/>
      <c r="B147" s="24"/>
      <c r="C147" s="13"/>
      <c r="D147" s="30" t="s">
        <v>1</v>
      </c>
      <c r="E147" s="131">
        <v>0.32</v>
      </c>
    </row>
    <row r="148" spans="1:5" ht="12.75">
      <c r="A148" s="48"/>
      <c r="B148" s="13" t="s">
        <v>498</v>
      </c>
      <c r="C148" s="139" t="s">
        <v>64</v>
      </c>
      <c r="D148" s="30" t="s">
        <v>2</v>
      </c>
      <c r="E148" s="131">
        <v>0.003</v>
      </c>
    </row>
    <row r="149" spans="1:5" ht="12.75">
      <c r="A149" s="49"/>
      <c r="B149" s="24"/>
      <c r="C149" s="13"/>
      <c r="D149" s="30" t="s">
        <v>1</v>
      </c>
      <c r="E149" s="131">
        <v>0.23</v>
      </c>
    </row>
    <row r="150" spans="1:5" ht="12.75" hidden="1">
      <c r="A150" s="48"/>
      <c r="B150" s="13"/>
      <c r="C150" s="139" t="s">
        <v>64</v>
      </c>
      <c r="D150" s="30" t="s">
        <v>2</v>
      </c>
      <c r="E150" s="131"/>
    </row>
    <row r="151" spans="1:5" ht="12.75" hidden="1">
      <c r="A151" s="37"/>
      <c r="B151" s="13"/>
      <c r="C151" s="13"/>
      <c r="D151" s="30" t="s">
        <v>1</v>
      </c>
      <c r="E151" s="131"/>
    </row>
    <row r="152" spans="1:5" ht="12.75" hidden="1">
      <c r="A152" s="48"/>
      <c r="B152" s="13"/>
      <c r="C152" s="139" t="s">
        <v>64</v>
      </c>
      <c r="D152" s="30" t="s">
        <v>2</v>
      </c>
      <c r="E152" s="131"/>
    </row>
    <row r="153" spans="1:5" ht="12.75" hidden="1">
      <c r="A153" s="48"/>
      <c r="B153" s="13"/>
      <c r="C153" s="19"/>
      <c r="D153" s="30" t="s">
        <v>1</v>
      </c>
      <c r="E153" s="132"/>
    </row>
    <row r="154" spans="1:5" ht="12.75" hidden="1">
      <c r="A154" s="48"/>
      <c r="B154" s="12"/>
      <c r="C154" s="19" t="s">
        <v>24</v>
      </c>
      <c r="D154" s="30" t="s">
        <v>2</v>
      </c>
      <c r="E154" s="62"/>
    </row>
    <row r="155" spans="1:5" ht="12.75" hidden="1">
      <c r="A155" s="48"/>
      <c r="B155" s="12"/>
      <c r="C155" s="16"/>
      <c r="D155" s="30" t="s">
        <v>1</v>
      </c>
      <c r="E155" s="62"/>
    </row>
    <row r="156" spans="1:5" ht="12.75" hidden="1">
      <c r="A156" s="48"/>
      <c r="B156" s="16"/>
      <c r="C156" s="19" t="s">
        <v>24</v>
      </c>
      <c r="D156" s="30" t="s">
        <v>2</v>
      </c>
      <c r="E156" s="62"/>
    </row>
    <row r="157" spans="1:5" ht="12.75" hidden="1">
      <c r="A157" s="48"/>
      <c r="B157" s="16"/>
      <c r="C157" s="16"/>
      <c r="D157" s="30" t="s">
        <v>1</v>
      </c>
      <c r="E157" s="62"/>
    </row>
    <row r="158" spans="1:5" ht="12.75" hidden="1">
      <c r="A158" s="48"/>
      <c r="B158" s="16"/>
      <c r="C158" s="19" t="s">
        <v>24</v>
      </c>
      <c r="D158" s="30" t="s">
        <v>2</v>
      </c>
      <c r="E158" s="62"/>
    </row>
    <row r="159" spans="1:5" ht="12.75" hidden="1">
      <c r="A159" s="48"/>
      <c r="B159" s="16"/>
      <c r="C159" s="137"/>
      <c r="D159" s="30" t="s">
        <v>1</v>
      </c>
      <c r="E159" s="62"/>
    </row>
    <row r="160" spans="1:5" ht="12.75" hidden="1">
      <c r="A160" s="48"/>
      <c r="B160" s="16"/>
      <c r="C160" s="19" t="s">
        <v>24</v>
      </c>
      <c r="D160" s="30" t="s">
        <v>2</v>
      </c>
      <c r="E160" s="62"/>
    </row>
    <row r="161" spans="1:5" ht="12.75" hidden="1">
      <c r="A161" s="48"/>
      <c r="B161" s="16"/>
      <c r="C161" s="19"/>
      <c r="D161" s="30" t="s">
        <v>1</v>
      </c>
      <c r="E161" s="62"/>
    </row>
    <row r="162" spans="1:5" ht="12.75" hidden="1">
      <c r="A162" s="48"/>
      <c r="B162" s="16"/>
      <c r="C162" s="19" t="s">
        <v>24</v>
      </c>
      <c r="D162" s="31" t="s">
        <v>2</v>
      </c>
      <c r="E162" s="62"/>
    </row>
    <row r="163" spans="1:5" ht="12.75" hidden="1">
      <c r="A163" s="37"/>
      <c r="B163" s="16"/>
      <c r="C163" s="19"/>
      <c r="D163" s="31" t="s">
        <v>1</v>
      </c>
      <c r="E163" s="62"/>
    </row>
    <row r="164" spans="1:5" ht="12.75" hidden="1">
      <c r="A164" s="48"/>
      <c r="B164" s="16"/>
      <c r="C164" s="19" t="s">
        <v>24</v>
      </c>
      <c r="D164" s="31" t="s">
        <v>2</v>
      </c>
      <c r="E164" s="62"/>
    </row>
    <row r="165" spans="1:5" ht="12.75" hidden="1">
      <c r="A165" s="48"/>
      <c r="B165" s="16"/>
      <c r="C165" s="16"/>
      <c r="D165" s="31" t="s">
        <v>1</v>
      </c>
      <c r="E165" s="62"/>
    </row>
    <row r="166" spans="1:5" ht="12.75" hidden="1">
      <c r="A166" s="48"/>
      <c r="B166" s="16"/>
      <c r="C166" s="19" t="s">
        <v>24</v>
      </c>
      <c r="D166" s="31" t="s">
        <v>2</v>
      </c>
      <c r="E166" s="62"/>
    </row>
    <row r="167" spans="1:5" ht="12.75" hidden="1">
      <c r="A167" s="48"/>
      <c r="B167" s="16"/>
      <c r="C167" s="137"/>
      <c r="D167" s="31" t="s">
        <v>1</v>
      </c>
      <c r="E167" s="62"/>
    </row>
    <row r="168" spans="1:5" ht="12.75" hidden="1">
      <c r="A168" s="48"/>
      <c r="B168" s="16"/>
      <c r="C168" s="19" t="s">
        <v>24</v>
      </c>
      <c r="D168" s="30" t="s">
        <v>2</v>
      </c>
      <c r="E168" s="62"/>
    </row>
    <row r="169" spans="1:5" ht="12.75" hidden="1">
      <c r="A169" s="48"/>
      <c r="B169" s="16"/>
      <c r="C169" s="137"/>
      <c r="D169" s="30" t="s">
        <v>1</v>
      </c>
      <c r="E169" s="62"/>
    </row>
    <row r="170" spans="1:5" ht="12.75" hidden="1">
      <c r="A170" s="48"/>
      <c r="B170" s="16"/>
      <c r="C170" s="19" t="s">
        <v>24</v>
      </c>
      <c r="D170" s="30" t="s">
        <v>2</v>
      </c>
      <c r="E170" s="62"/>
    </row>
    <row r="171" spans="1:5" ht="12.75" hidden="1">
      <c r="A171" s="48"/>
      <c r="B171" s="16"/>
      <c r="C171" s="137"/>
      <c r="D171" s="30" t="s">
        <v>1</v>
      </c>
      <c r="E171" s="62"/>
    </row>
    <row r="172" spans="1:5" ht="12.75" hidden="1">
      <c r="A172" s="48"/>
      <c r="B172" s="12"/>
      <c r="C172" s="19" t="s">
        <v>24</v>
      </c>
      <c r="D172" s="30" t="s">
        <v>2</v>
      </c>
      <c r="E172" s="62"/>
    </row>
    <row r="173" spans="1:5" ht="12.75" hidden="1">
      <c r="A173" s="48"/>
      <c r="B173" s="12"/>
      <c r="C173" s="19"/>
      <c r="D173" s="30" t="s">
        <v>1</v>
      </c>
      <c r="E173" s="62"/>
    </row>
    <row r="174" spans="1:5" ht="12.75" hidden="1">
      <c r="A174" s="48"/>
      <c r="B174" s="12"/>
      <c r="C174" s="19" t="s">
        <v>24</v>
      </c>
      <c r="D174" s="30" t="s">
        <v>2</v>
      </c>
      <c r="E174" s="62"/>
    </row>
    <row r="175" spans="1:5" ht="12.75" hidden="1">
      <c r="A175" s="48"/>
      <c r="B175" s="13"/>
      <c r="C175" s="137"/>
      <c r="D175" s="30" t="s">
        <v>1</v>
      </c>
      <c r="E175" s="62"/>
    </row>
    <row r="176" spans="1:5" ht="12.75" hidden="1">
      <c r="A176" s="48"/>
      <c r="B176" s="12"/>
      <c r="C176" s="19" t="s">
        <v>24</v>
      </c>
      <c r="D176" s="30" t="s">
        <v>2</v>
      </c>
      <c r="E176" s="62"/>
    </row>
    <row r="177" spans="1:5" ht="12.75" hidden="1">
      <c r="A177" s="48"/>
      <c r="B177" s="13"/>
      <c r="C177" s="137"/>
      <c r="D177" s="30" t="s">
        <v>1</v>
      </c>
      <c r="E177" s="62"/>
    </row>
    <row r="178" spans="1:5" ht="12.75" hidden="1">
      <c r="A178" s="48"/>
      <c r="B178" s="12"/>
      <c r="C178" s="19" t="s">
        <v>24</v>
      </c>
      <c r="D178" s="30" t="s">
        <v>2</v>
      </c>
      <c r="E178" s="62"/>
    </row>
    <row r="179" spans="1:5" ht="12.75" hidden="1">
      <c r="A179" s="37"/>
      <c r="B179" s="13"/>
      <c r="C179" s="139"/>
      <c r="D179" s="30" t="s">
        <v>1</v>
      </c>
      <c r="E179" s="62"/>
    </row>
    <row r="180" spans="1:5" ht="12.75" hidden="1">
      <c r="A180" s="48"/>
      <c r="B180" s="12"/>
      <c r="C180" s="19" t="s">
        <v>24</v>
      </c>
      <c r="D180" s="30" t="s">
        <v>2</v>
      </c>
      <c r="E180" s="62"/>
    </row>
    <row r="181" spans="1:5" ht="12.75" hidden="1">
      <c r="A181" s="48"/>
      <c r="B181" s="13"/>
      <c r="C181" s="137"/>
      <c r="D181" s="30" t="s">
        <v>1</v>
      </c>
      <c r="E181" s="62"/>
    </row>
    <row r="182" spans="1:5" ht="12.75" hidden="1">
      <c r="A182" s="48"/>
      <c r="B182" s="13"/>
      <c r="C182" s="19" t="s">
        <v>24</v>
      </c>
      <c r="D182" s="30" t="s">
        <v>2</v>
      </c>
      <c r="E182" s="62"/>
    </row>
    <row r="183" spans="1:5" ht="12.75" hidden="1">
      <c r="A183" s="48"/>
      <c r="B183" s="13"/>
      <c r="C183" s="137"/>
      <c r="D183" s="30" t="s">
        <v>1</v>
      </c>
      <c r="E183" s="62"/>
    </row>
    <row r="184" spans="1:5" ht="12.75" hidden="1">
      <c r="A184" s="48"/>
      <c r="B184" s="13"/>
      <c r="C184" s="19" t="s">
        <v>24</v>
      </c>
      <c r="D184" s="30" t="s">
        <v>2</v>
      </c>
      <c r="E184" s="62"/>
    </row>
    <row r="185" spans="1:5" ht="12.75" hidden="1">
      <c r="A185" s="48"/>
      <c r="B185" s="13"/>
      <c r="C185" s="139"/>
      <c r="D185" s="30" t="s">
        <v>1</v>
      </c>
      <c r="E185" s="62"/>
    </row>
    <row r="186" spans="1:5" ht="12.75" hidden="1">
      <c r="A186" s="48"/>
      <c r="B186" s="12"/>
      <c r="C186" s="19" t="s">
        <v>24</v>
      </c>
      <c r="D186" s="30" t="s">
        <v>2</v>
      </c>
      <c r="E186" s="62"/>
    </row>
    <row r="187" spans="1:5" ht="12.75" hidden="1">
      <c r="A187" s="48"/>
      <c r="B187" s="13"/>
      <c r="C187" s="137"/>
      <c r="D187" s="30" t="s">
        <v>1</v>
      </c>
      <c r="E187" s="62"/>
    </row>
    <row r="188" spans="1:5" ht="12.75" hidden="1">
      <c r="A188" s="48"/>
      <c r="B188" s="12"/>
      <c r="C188" s="19" t="s">
        <v>24</v>
      </c>
      <c r="D188" s="30" t="s">
        <v>2</v>
      </c>
      <c r="E188" s="62"/>
    </row>
    <row r="189" spans="1:5" ht="12.75" hidden="1">
      <c r="A189" s="48"/>
      <c r="B189" s="13"/>
      <c r="C189" s="137"/>
      <c r="D189" s="30" t="s">
        <v>1</v>
      </c>
      <c r="E189" s="62"/>
    </row>
    <row r="190" spans="1:5" ht="12.75" hidden="1">
      <c r="A190" s="48"/>
      <c r="B190" s="12"/>
      <c r="C190" s="19" t="s">
        <v>24</v>
      </c>
      <c r="D190" s="30" t="s">
        <v>2</v>
      </c>
      <c r="E190" s="62"/>
    </row>
    <row r="191" spans="1:5" ht="12.75" hidden="1">
      <c r="A191" s="48"/>
      <c r="B191" s="13"/>
      <c r="C191" s="13"/>
      <c r="D191" s="30" t="s">
        <v>1</v>
      </c>
      <c r="E191" s="62"/>
    </row>
    <row r="192" spans="1:5" ht="12.75" hidden="1">
      <c r="A192" s="48"/>
      <c r="B192" s="13"/>
      <c r="C192" s="19" t="s">
        <v>24</v>
      </c>
      <c r="D192" s="30" t="s">
        <v>2</v>
      </c>
      <c r="E192" s="62"/>
    </row>
    <row r="193" spans="1:5" ht="12.75" hidden="1">
      <c r="A193" s="37"/>
      <c r="B193" s="13"/>
      <c r="C193" s="16"/>
      <c r="D193" s="30" t="s">
        <v>1</v>
      </c>
      <c r="E193" s="62"/>
    </row>
    <row r="194" spans="1:5" ht="12.75" hidden="1">
      <c r="A194" s="48"/>
      <c r="B194" s="13"/>
      <c r="C194" s="19" t="s">
        <v>24</v>
      </c>
      <c r="D194" s="30" t="s">
        <v>2</v>
      </c>
      <c r="E194" s="62"/>
    </row>
    <row r="195" spans="1:5" ht="12.75" hidden="1">
      <c r="A195" s="37"/>
      <c r="B195" s="13"/>
      <c r="C195" s="137"/>
      <c r="D195" s="30" t="s">
        <v>1</v>
      </c>
      <c r="E195" s="62"/>
    </row>
    <row r="196" spans="1:5" ht="12.75" hidden="1">
      <c r="A196" s="48"/>
      <c r="B196" s="13"/>
      <c r="C196" s="19" t="s">
        <v>24</v>
      </c>
      <c r="D196" s="30" t="s">
        <v>2</v>
      </c>
      <c r="E196" s="62"/>
    </row>
    <row r="197" spans="1:5" ht="12.75" hidden="1">
      <c r="A197" s="37"/>
      <c r="B197" s="13"/>
      <c r="C197" s="16"/>
      <c r="D197" s="30" t="s">
        <v>1</v>
      </c>
      <c r="E197" s="62"/>
    </row>
    <row r="198" spans="1:5" ht="12.75" hidden="1">
      <c r="A198" s="48"/>
      <c r="B198" s="13"/>
      <c r="C198" s="19" t="s">
        <v>24</v>
      </c>
      <c r="D198" s="30" t="s">
        <v>2</v>
      </c>
      <c r="E198" s="62"/>
    </row>
    <row r="199" spans="1:5" ht="12.75" hidden="1">
      <c r="A199" s="48"/>
      <c r="B199" s="13"/>
      <c r="C199" s="137"/>
      <c r="D199" s="30" t="s">
        <v>1</v>
      </c>
      <c r="E199" s="62"/>
    </row>
    <row r="200" spans="1:5" ht="12.75" hidden="1">
      <c r="A200" s="48"/>
      <c r="B200" s="13"/>
      <c r="C200" s="19" t="s">
        <v>24</v>
      </c>
      <c r="D200" s="30" t="s">
        <v>2</v>
      </c>
      <c r="E200" s="62"/>
    </row>
    <row r="201" spans="1:5" ht="12.75" hidden="1">
      <c r="A201" s="48"/>
      <c r="B201" s="13"/>
      <c r="C201" s="139"/>
      <c r="D201" s="30" t="s">
        <v>1</v>
      </c>
      <c r="E201" s="62"/>
    </row>
    <row r="202" spans="1:5" ht="12.75" hidden="1">
      <c r="A202" s="48"/>
      <c r="B202" s="24"/>
      <c r="C202" s="19" t="s">
        <v>24</v>
      </c>
      <c r="D202" s="30" t="s">
        <v>2</v>
      </c>
      <c r="E202" s="62"/>
    </row>
    <row r="203" spans="1:5" ht="12.75" hidden="1">
      <c r="A203" s="48"/>
      <c r="B203" s="24"/>
      <c r="C203" s="139"/>
      <c r="D203" s="30" t="s">
        <v>1</v>
      </c>
      <c r="E203" s="62"/>
    </row>
    <row r="204" spans="1:5" ht="12.75" hidden="1">
      <c r="A204" s="48"/>
      <c r="B204" s="24"/>
      <c r="C204" s="19" t="s">
        <v>24</v>
      </c>
      <c r="D204" s="30" t="s">
        <v>2</v>
      </c>
      <c r="E204" s="62"/>
    </row>
    <row r="205" spans="1:5" ht="12.75" hidden="1">
      <c r="A205" s="48"/>
      <c r="B205" s="24"/>
      <c r="C205" s="139"/>
      <c r="D205" s="30" t="s">
        <v>1</v>
      </c>
      <c r="E205" s="62"/>
    </row>
    <row r="206" spans="1:5" ht="12.75" hidden="1">
      <c r="A206" s="48"/>
      <c r="B206" s="24"/>
      <c r="C206" s="19" t="s">
        <v>24</v>
      </c>
      <c r="D206" s="30" t="s">
        <v>2</v>
      </c>
      <c r="E206" s="62"/>
    </row>
    <row r="207" spans="1:5" ht="12.75" hidden="1">
      <c r="A207" s="48"/>
      <c r="B207" s="24"/>
      <c r="C207" s="139"/>
      <c r="D207" s="30" t="s">
        <v>1</v>
      </c>
      <c r="E207" s="62"/>
    </row>
    <row r="208" spans="1:5" ht="12.75" hidden="1">
      <c r="A208" s="48"/>
      <c r="B208" s="24"/>
      <c r="C208" s="19" t="s">
        <v>24</v>
      </c>
      <c r="D208" s="30" t="s">
        <v>2</v>
      </c>
      <c r="E208" s="62"/>
    </row>
    <row r="209" spans="1:5" ht="12.75" hidden="1">
      <c r="A209" s="48"/>
      <c r="B209" s="24"/>
      <c r="C209" s="139"/>
      <c r="D209" s="30" t="s">
        <v>1</v>
      </c>
      <c r="E209" s="62"/>
    </row>
    <row r="210" spans="1:5" ht="12.75" hidden="1">
      <c r="A210" s="48"/>
      <c r="B210" s="25"/>
      <c r="C210" s="139" t="s">
        <v>118</v>
      </c>
      <c r="D210" s="54" t="s">
        <v>2</v>
      </c>
      <c r="E210" s="62"/>
    </row>
    <row r="211" spans="1:5" ht="12.75" hidden="1">
      <c r="A211" s="48"/>
      <c r="B211" s="24"/>
      <c r="C211" s="13"/>
      <c r="D211" s="53" t="s">
        <v>1</v>
      </c>
      <c r="E211" s="62"/>
    </row>
    <row r="212" spans="1:5" ht="12.75">
      <c r="A212" s="50"/>
      <c r="B212" s="92"/>
      <c r="C212" s="93"/>
      <c r="D212" s="94"/>
      <c r="E212" s="97">
        <f>E140+E142+E144+E146+E148</f>
        <v>0.018</v>
      </c>
    </row>
    <row r="213" spans="1:5" ht="12.75">
      <c r="A213" s="50"/>
      <c r="B213" s="92"/>
      <c r="C213" s="93"/>
      <c r="D213" s="94"/>
      <c r="E213" s="97">
        <f>E141+E143+E145+E147+E149</f>
        <v>6.480000000000001</v>
      </c>
    </row>
    <row r="214" spans="1:5" ht="12.75">
      <c r="A214" s="48"/>
      <c r="B214" s="74"/>
      <c r="C214" s="13"/>
      <c r="D214" s="54"/>
      <c r="E214" s="62"/>
    </row>
  </sheetData>
  <sheetProtection/>
  <mergeCells count="2">
    <mergeCell ref="A1:D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9"/>
  <sheetViews>
    <sheetView zoomScalePageLayoutView="0" workbookViewId="0" topLeftCell="A301">
      <selection activeCell="D5" sqref="D5"/>
    </sheetView>
  </sheetViews>
  <sheetFormatPr defaultColWidth="9.00390625" defaultRowHeight="12.75"/>
  <cols>
    <col min="1" max="1" width="31.00390625" style="1" customWidth="1"/>
    <col min="2" max="2" width="22.875" style="1" customWidth="1"/>
    <col min="3" max="3" width="9.375" style="2" customWidth="1"/>
    <col min="4" max="4" width="12.875" style="72" customWidth="1"/>
    <col min="5" max="5" width="4.25390625" style="0" customWidth="1"/>
  </cols>
  <sheetData>
    <row r="1" spans="1:4" ht="12.75">
      <c r="A1"/>
      <c r="B1"/>
      <c r="C1"/>
      <c r="D1"/>
    </row>
    <row r="2" spans="1:5" ht="35.25" customHeight="1">
      <c r="A2" s="193" t="s">
        <v>416</v>
      </c>
      <c r="B2" s="193"/>
      <c r="C2" s="193"/>
      <c r="D2" s="193"/>
      <c r="E2" s="193"/>
    </row>
    <row r="3" spans="1:4" ht="31.5">
      <c r="A3" s="47" t="s">
        <v>111</v>
      </c>
      <c r="B3" s="47" t="s">
        <v>0</v>
      </c>
      <c r="C3" s="47"/>
      <c r="D3" s="60" t="s">
        <v>233</v>
      </c>
    </row>
    <row r="4" spans="1:4" ht="15.75">
      <c r="A4" s="47"/>
      <c r="B4" s="47"/>
      <c r="C4" s="47"/>
      <c r="D4" s="152">
        <f>D91+D156+D230+D304+D378</f>
        <v>20.90392</v>
      </c>
    </row>
    <row r="5" spans="1:4" ht="15.75">
      <c r="A5" s="47"/>
      <c r="B5" s="47"/>
      <c r="C5" s="47"/>
      <c r="D5" s="152">
        <f>D92+D157+D231+D305+D379</f>
        <v>6610.266011116757</v>
      </c>
    </row>
    <row r="6" spans="1:4" ht="12.75">
      <c r="A6" s="28"/>
      <c r="B6" s="28"/>
      <c r="C6" s="29"/>
      <c r="D6" s="61"/>
    </row>
    <row r="7" spans="1:4" ht="12.75">
      <c r="A7" s="12" t="s">
        <v>256</v>
      </c>
      <c r="B7" s="137" t="s">
        <v>113</v>
      </c>
      <c r="C7" s="30" t="s">
        <v>2</v>
      </c>
      <c r="D7" s="133">
        <f>0.055*0.1</f>
        <v>0.0055000000000000005</v>
      </c>
    </row>
    <row r="8" spans="1:6" ht="12.75">
      <c r="A8" s="13"/>
      <c r="B8" s="12"/>
      <c r="C8" s="30" t="s">
        <v>1</v>
      </c>
      <c r="D8" s="132">
        <f>1.89432+0.63135</f>
        <v>2.52567</v>
      </c>
      <c r="F8" s="82">
        <f>6610.27-D5</f>
        <v>0.003988883243437158</v>
      </c>
    </row>
    <row r="9" spans="1:4" ht="12.75">
      <c r="A9" s="12" t="s">
        <v>257</v>
      </c>
      <c r="B9" s="137" t="s">
        <v>113</v>
      </c>
      <c r="C9" s="30" t="s">
        <v>2</v>
      </c>
      <c r="D9" s="133">
        <f>0.05*0.1</f>
        <v>0.005000000000000001</v>
      </c>
    </row>
    <row r="10" spans="1:4" ht="12.75">
      <c r="A10" s="13"/>
      <c r="B10" s="16"/>
      <c r="C10" s="30" t="s">
        <v>1</v>
      </c>
      <c r="D10" s="132">
        <f>1.72211+0.57395</f>
        <v>2.2960599999999998</v>
      </c>
    </row>
    <row r="11" spans="1:4" ht="12.75">
      <c r="A11" s="12" t="s">
        <v>258</v>
      </c>
      <c r="B11" s="137" t="s">
        <v>113</v>
      </c>
      <c r="C11" s="31" t="s">
        <v>2</v>
      </c>
      <c r="D11" s="133">
        <f>0.05*0.1</f>
        <v>0.005000000000000001</v>
      </c>
    </row>
    <row r="12" spans="1:4" ht="12.75">
      <c r="A12" s="12"/>
      <c r="B12" s="20"/>
      <c r="C12" s="31" t="s">
        <v>1</v>
      </c>
      <c r="D12" s="132">
        <f>1.72211+0.57395</f>
        <v>2.2960599999999998</v>
      </c>
    </row>
    <row r="13" spans="1:4" ht="12.75">
      <c r="A13" s="12" t="s">
        <v>259</v>
      </c>
      <c r="B13" s="137" t="s">
        <v>113</v>
      </c>
      <c r="C13" s="30" t="s">
        <v>2</v>
      </c>
      <c r="D13" s="133">
        <f>0.02*0.1</f>
        <v>0.002</v>
      </c>
    </row>
    <row r="14" spans="1:4" ht="12.75">
      <c r="A14" s="12"/>
      <c r="B14" s="16"/>
      <c r="C14" s="30" t="s">
        <v>1</v>
      </c>
      <c r="D14" s="132">
        <f>0.68884+0.31638</f>
        <v>1.00522</v>
      </c>
    </row>
    <row r="15" spans="1:4" ht="12.75">
      <c r="A15" s="12" t="s">
        <v>260</v>
      </c>
      <c r="B15" s="137" t="s">
        <v>113</v>
      </c>
      <c r="C15" s="31" t="s">
        <v>2</v>
      </c>
      <c r="D15" s="133">
        <f>0.03*0.1</f>
        <v>0.003</v>
      </c>
    </row>
    <row r="16" spans="1:4" ht="12.75">
      <c r="A16" s="12"/>
      <c r="B16" s="20"/>
      <c r="C16" s="31" t="s">
        <v>1</v>
      </c>
      <c r="D16" s="132">
        <f>0.47457+1.03326</f>
        <v>1.50783</v>
      </c>
    </row>
    <row r="17" spans="1:4" ht="12.75">
      <c r="A17" s="12" t="s">
        <v>261</v>
      </c>
      <c r="B17" s="137" t="s">
        <v>113</v>
      </c>
      <c r="C17" s="30" t="s">
        <v>2</v>
      </c>
      <c r="D17" s="133">
        <f>0.041*0.1</f>
        <v>0.0041</v>
      </c>
    </row>
    <row r="18" spans="1:4" ht="12.75">
      <c r="A18" s="12"/>
      <c r="B18" s="32"/>
      <c r="C18" s="30" t="s">
        <v>1</v>
      </c>
      <c r="D18" s="132">
        <f>1.41213+0.64858</f>
        <v>2.0607100000000003</v>
      </c>
    </row>
    <row r="19" spans="1:4" ht="12.75">
      <c r="A19" s="12" t="s">
        <v>262</v>
      </c>
      <c r="B19" s="137" t="s">
        <v>113</v>
      </c>
      <c r="C19" s="30" t="s">
        <v>2</v>
      </c>
      <c r="D19" s="133">
        <f>0.03*0.1</f>
        <v>0.003</v>
      </c>
    </row>
    <row r="20" spans="1:4" ht="12.75">
      <c r="A20" s="12"/>
      <c r="B20" s="12"/>
      <c r="C20" s="30" t="s">
        <v>1</v>
      </c>
      <c r="D20" s="132">
        <f>1.03326+0.34437</f>
        <v>1.3776300000000001</v>
      </c>
    </row>
    <row r="21" spans="1:4" ht="12.75">
      <c r="A21" s="12" t="s">
        <v>263</v>
      </c>
      <c r="B21" s="137" t="s">
        <v>113</v>
      </c>
      <c r="C21" s="30" t="s">
        <v>2</v>
      </c>
      <c r="D21" s="133">
        <f>0.05*0.1</f>
        <v>0.005000000000000001</v>
      </c>
    </row>
    <row r="22" spans="1:4" ht="12.75">
      <c r="A22" s="12"/>
      <c r="B22" s="16"/>
      <c r="C22" s="30" t="s">
        <v>1</v>
      </c>
      <c r="D22" s="132">
        <f>1.72211+0.57395</f>
        <v>2.2960599999999998</v>
      </c>
    </row>
    <row r="23" spans="1:4" ht="12.75">
      <c r="A23" s="12" t="s">
        <v>264</v>
      </c>
      <c r="B23" s="137" t="s">
        <v>113</v>
      </c>
      <c r="C23" s="31" t="s">
        <v>2</v>
      </c>
      <c r="D23" s="133">
        <f>0.04*0.1</f>
        <v>0.004</v>
      </c>
    </row>
    <row r="24" spans="1:4" ht="12.75">
      <c r="A24" s="12"/>
      <c r="B24" s="20"/>
      <c r="C24" s="31" t="s">
        <v>1</v>
      </c>
      <c r="D24" s="132">
        <f>1.37768+0.45916</f>
        <v>1.83684</v>
      </c>
    </row>
    <row r="25" spans="1:4" ht="12.75">
      <c r="A25" s="12" t="s">
        <v>265</v>
      </c>
      <c r="B25" s="137" t="s">
        <v>113</v>
      </c>
      <c r="C25" s="30" t="s">
        <v>2</v>
      </c>
      <c r="D25" s="133">
        <f>0.05*0.1</f>
        <v>0.005000000000000001</v>
      </c>
    </row>
    <row r="26" spans="1:4" ht="12.75">
      <c r="A26" s="12"/>
      <c r="B26" s="16"/>
      <c r="C26" s="30" t="s">
        <v>1</v>
      </c>
      <c r="D26" s="132">
        <f>1.72211+0.57395</f>
        <v>2.2960599999999998</v>
      </c>
    </row>
    <row r="27" spans="1:4" ht="12.75">
      <c r="A27" s="12" t="s">
        <v>266</v>
      </c>
      <c r="B27" s="137" t="s">
        <v>113</v>
      </c>
      <c r="C27" s="31" t="s">
        <v>2</v>
      </c>
      <c r="D27" s="133">
        <f>0.04*0.1</f>
        <v>0.004</v>
      </c>
    </row>
    <row r="28" spans="1:4" ht="12.75">
      <c r="A28" s="12"/>
      <c r="B28" s="20"/>
      <c r="C28" s="31" t="s">
        <v>1</v>
      </c>
      <c r="D28" s="132">
        <f>1.37768+0.45916</f>
        <v>1.83684</v>
      </c>
    </row>
    <row r="29" spans="1:4" ht="12.75">
      <c r="A29" s="12" t="s">
        <v>267</v>
      </c>
      <c r="B29" s="137" t="s">
        <v>113</v>
      </c>
      <c r="C29" s="30" t="s">
        <v>2</v>
      </c>
      <c r="D29" s="133">
        <v>0.02</v>
      </c>
    </row>
    <row r="30" spans="1:4" ht="12.75">
      <c r="A30" s="12"/>
      <c r="B30" s="32"/>
      <c r="C30" s="30" t="s">
        <v>1</v>
      </c>
      <c r="D30" s="132">
        <v>4.6046</v>
      </c>
    </row>
    <row r="31" spans="1:4" ht="12.75">
      <c r="A31" s="12" t="s">
        <v>268</v>
      </c>
      <c r="B31" s="137" t="s">
        <v>113</v>
      </c>
      <c r="C31" s="30" t="s">
        <v>2</v>
      </c>
      <c r="D31" s="133">
        <v>0.02</v>
      </c>
    </row>
    <row r="32" spans="1:4" ht="12.75">
      <c r="A32" s="12"/>
      <c r="B32" s="12"/>
      <c r="C32" s="30" t="s">
        <v>1</v>
      </c>
      <c r="D32" s="132">
        <v>4.6046</v>
      </c>
    </row>
    <row r="33" spans="1:4" ht="12.75">
      <c r="A33" s="12" t="s">
        <v>269</v>
      </c>
      <c r="B33" s="137" t="s">
        <v>113</v>
      </c>
      <c r="C33" s="30" t="s">
        <v>2</v>
      </c>
      <c r="D33" s="133">
        <v>0.02</v>
      </c>
    </row>
    <row r="34" spans="1:4" ht="12.75">
      <c r="A34" s="12"/>
      <c r="B34" s="16"/>
      <c r="C34" s="30" t="s">
        <v>1</v>
      </c>
      <c r="D34" s="132">
        <f>1.50734</f>
        <v>1.50734</v>
      </c>
    </row>
    <row r="35" spans="1:4" ht="12.75">
      <c r="A35" s="12" t="s">
        <v>270</v>
      </c>
      <c r="B35" s="137" t="s">
        <v>113</v>
      </c>
      <c r="C35" s="31" t="s">
        <v>2</v>
      </c>
      <c r="D35" s="133">
        <v>0.03</v>
      </c>
    </row>
    <row r="36" spans="1:4" ht="12.75">
      <c r="A36" s="12"/>
      <c r="B36" s="20"/>
      <c r="C36" s="31" t="s">
        <v>1</v>
      </c>
      <c r="D36" s="132">
        <v>2.26101</v>
      </c>
    </row>
    <row r="37" spans="1:4" ht="12.75">
      <c r="A37" s="12" t="s">
        <v>279</v>
      </c>
      <c r="B37" s="137" t="s">
        <v>113</v>
      </c>
      <c r="C37" s="30" t="s">
        <v>2</v>
      </c>
      <c r="D37" s="64">
        <v>0.165</v>
      </c>
    </row>
    <row r="38" spans="1:4" ht="12.75">
      <c r="A38" s="12"/>
      <c r="B38" s="16"/>
      <c r="C38" s="30" t="s">
        <v>1</v>
      </c>
      <c r="D38" s="64">
        <v>20.11</v>
      </c>
    </row>
    <row r="39" spans="1:4" ht="12.75">
      <c r="A39" s="12" t="s">
        <v>287</v>
      </c>
      <c r="B39" s="137" t="s">
        <v>113</v>
      </c>
      <c r="C39" s="31" t="s">
        <v>2</v>
      </c>
      <c r="D39" s="133">
        <v>0.01</v>
      </c>
    </row>
    <row r="40" spans="1:4" ht="12.75">
      <c r="A40" s="13"/>
      <c r="B40" s="20"/>
      <c r="C40" s="31" t="s">
        <v>1</v>
      </c>
      <c r="D40" s="131">
        <v>3.298</v>
      </c>
    </row>
    <row r="41" spans="1:4" ht="12.75">
      <c r="A41" s="12" t="s">
        <v>288</v>
      </c>
      <c r="B41" s="137" t="s">
        <v>113</v>
      </c>
      <c r="C41" s="30" t="s">
        <v>2</v>
      </c>
      <c r="D41" s="133">
        <v>0.0526</v>
      </c>
    </row>
    <row r="42" spans="1:4" ht="12.75">
      <c r="A42" s="13"/>
      <c r="B42" s="32"/>
      <c r="C42" s="30" t="s">
        <v>1</v>
      </c>
      <c r="D42" s="131">
        <v>4.04945</v>
      </c>
    </row>
    <row r="43" spans="1:4" ht="12.75">
      <c r="A43" s="12" t="s">
        <v>289</v>
      </c>
      <c r="B43" s="137" t="s">
        <v>113</v>
      </c>
      <c r="C43" s="30" t="s">
        <v>2</v>
      </c>
      <c r="D43" s="133">
        <v>0.1803</v>
      </c>
    </row>
    <row r="44" spans="1:4" ht="12.75">
      <c r="A44" s="12"/>
      <c r="B44" s="32"/>
      <c r="C44" s="30" t="s">
        <v>1</v>
      </c>
      <c r="D44" s="131">
        <v>13.8813</v>
      </c>
    </row>
    <row r="45" spans="1:4" ht="12.75">
      <c r="A45" s="12" t="s">
        <v>309</v>
      </c>
      <c r="B45" s="137" t="s">
        <v>113</v>
      </c>
      <c r="C45" s="30" t="s">
        <v>2</v>
      </c>
      <c r="D45" s="133">
        <v>0.05</v>
      </c>
    </row>
    <row r="46" spans="1:4" ht="12.75">
      <c r="A46" s="12"/>
      <c r="B46" s="32"/>
      <c r="C46" s="30" t="s">
        <v>1</v>
      </c>
      <c r="D46" s="132">
        <f>D45*76.983333</f>
        <v>3.8491666500000004</v>
      </c>
    </row>
    <row r="47" spans="1:4" ht="12.75">
      <c r="A47" s="12" t="s">
        <v>310</v>
      </c>
      <c r="B47" s="137" t="s">
        <v>113</v>
      </c>
      <c r="C47" s="30" t="s">
        <v>2</v>
      </c>
      <c r="D47" s="133">
        <f>0.07</f>
        <v>0.07</v>
      </c>
    </row>
    <row r="48" spans="1:4" ht="12.75">
      <c r="A48" s="13"/>
      <c r="B48" s="12"/>
      <c r="C48" s="30" t="s">
        <v>1</v>
      </c>
      <c r="D48" s="132">
        <f>D47*76.983333</f>
        <v>5.388833310000001</v>
      </c>
    </row>
    <row r="49" spans="1:4" ht="12.75">
      <c r="A49" s="12" t="s">
        <v>311</v>
      </c>
      <c r="B49" s="137" t="s">
        <v>113</v>
      </c>
      <c r="C49" s="30" t="s">
        <v>2</v>
      </c>
      <c r="D49" s="153">
        <f>0.0171+0.027</f>
        <v>0.0441</v>
      </c>
    </row>
    <row r="50" spans="1:4" ht="12.75">
      <c r="A50" s="12"/>
      <c r="B50" s="16"/>
      <c r="C50" s="30" t="s">
        <v>1</v>
      </c>
      <c r="D50" s="154">
        <f>2.157+4.694</f>
        <v>6.851</v>
      </c>
    </row>
    <row r="51" spans="1:4" ht="12.75">
      <c r="A51" s="12" t="s">
        <v>312</v>
      </c>
      <c r="B51" s="137" t="s">
        <v>113</v>
      </c>
      <c r="C51" s="31" t="s">
        <v>2</v>
      </c>
      <c r="D51" s="153">
        <v>0.03</v>
      </c>
    </row>
    <row r="52" spans="1:4" ht="12.75">
      <c r="A52" s="12"/>
      <c r="B52" s="20"/>
      <c r="C52" s="31" t="s">
        <v>1</v>
      </c>
      <c r="D52" s="154">
        <v>7.538</v>
      </c>
    </row>
    <row r="53" spans="1:4" ht="12.75">
      <c r="A53" s="12" t="s">
        <v>314</v>
      </c>
      <c r="B53" s="137" t="s">
        <v>113</v>
      </c>
      <c r="C53" s="30" t="s">
        <v>2</v>
      </c>
      <c r="D53" s="133">
        <f>0.012+0.003</f>
        <v>0.015</v>
      </c>
    </row>
    <row r="54" spans="1:4" ht="12.75">
      <c r="A54" s="12"/>
      <c r="B54" s="32"/>
      <c r="C54" s="30" t="s">
        <v>1</v>
      </c>
      <c r="D54" s="131">
        <f>3.974+0.864</f>
        <v>4.838</v>
      </c>
    </row>
    <row r="55" spans="1:4" ht="12.75">
      <c r="A55" s="12" t="s">
        <v>331</v>
      </c>
      <c r="B55" s="137" t="s">
        <v>113</v>
      </c>
      <c r="C55" s="30" t="s">
        <v>2</v>
      </c>
      <c r="D55" s="131">
        <v>0.095</v>
      </c>
    </row>
    <row r="56" spans="1:4" ht="12.75">
      <c r="A56" s="12"/>
      <c r="B56" s="12"/>
      <c r="C56" s="30" t="s">
        <v>1</v>
      </c>
      <c r="D56" s="131">
        <v>18.55</v>
      </c>
    </row>
    <row r="57" spans="1:4" ht="12.75">
      <c r="A57" s="12" t="s">
        <v>346</v>
      </c>
      <c r="B57" s="137" t="s">
        <v>113</v>
      </c>
      <c r="C57" s="30" t="s">
        <v>2</v>
      </c>
      <c r="D57" s="133">
        <v>0.16</v>
      </c>
    </row>
    <row r="58" spans="1:4" ht="12.75">
      <c r="A58" s="12"/>
      <c r="B58" s="16"/>
      <c r="C58" s="30" t="s">
        <v>1</v>
      </c>
      <c r="D58" s="132">
        <v>59.492</v>
      </c>
    </row>
    <row r="59" spans="1:4" ht="12.75">
      <c r="A59" s="12" t="s">
        <v>347</v>
      </c>
      <c r="B59" s="137" t="s">
        <v>113</v>
      </c>
      <c r="C59" s="31" t="s">
        <v>2</v>
      </c>
      <c r="D59" s="133">
        <v>0.7623</v>
      </c>
    </row>
    <row r="60" spans="1:4" ht="12.75">
      <c r="A60" s="12"/>
      <c r="B60" s="20"/>
      <c r="C60" s="31" t="s">
        <v>1</v>
      </c>
      <c r="D60" s="132">
        <f>6.117+0.00301+13.84</f>
        <v>19.96001</v>
      </c>
    </row>
    <row r="61" spans="1:4" ht="12.75">
      <c r="A61" s="12" t="s">
        <v>358</v>
      </c>
      <c r="B61" s="137" t="s">
        <v>113</v>
      </c>
      <c r="C61" s="30" t="s">
        <v>2</v>
      </c>
      <c r="D61" s="133">
        <f>0.336+0.044</f>
        <v>0.38</v>
      </c>
    </row>
    <row r="62" spans="1:4" ht="12.75">
      <c r="A62" s="12"/>
      <c r="B62" s="16"/>
      <c r="C62" s="30" t="s">
        <v>1</v>
      </c>
      <c r="D62" s="132">
        <f>102.954+9.369</f>
        <v>112.323</v>
      </c>
    </row>
    <row r="63" spans="1:4" ht="12.75">
      <c r="A63" s="12" t="s">
        <v>368</v>
      </c>
      <c r="B63" s="137" t="s">
        <v>113</v>
      </c>
      <c r="C63" s="31" t="s">
        <v>2</v>
      </c>
      <c r="D63" s="133">
        <v>0.282</v>
      </c>
    </row>
    <row r="64" spans="1:4" ht="12.75">
      <c r="A64" s="12"/>
      <c r="B64" s="20"/>
      <c r="C64" s="31" t="s">
        <v>1</v>
      </c>
      <c r="D64" s="131">
        <v>82.249</v>
      </c>
    </row>
    <row r="65" spans="1:4" ht="12.75">
      <c r="A65" s="12" t="s">
        <v>369</v>
      </c>
      <c r="B65" s="137" t="s">
        <v>113</v>
      </c>
      <c r="C65" s="30" t="s">
        <v>2</v>
      </c>
      <c r="D65" s="133">
        <v>0.0126</v>
      </c>
    </row>
    <row r="66" spans="1:4" ht="12.75">
      <c r="A66" s="13"/>
      <c r="B66" s="32"/>
      <c r="C66" s="30" t="s">
        <v>1</v>
      </c>
      <c r="D66" s="132">
        <f>D65*34.393</f>
        <v>0.4333518</v>
      </c>
    </row>
    <row r="67" spans="1:4" ht="12.75">
      <c r="A67" s="12" t="s">
        <v>370</v>
      </c>
      <c r="B67" s="137" t="s">
        <v>113</v>
      </c>
      <c r="C67" s="30" t="s">
        <v>2</v>
      </c>
      <c r="D67" s="133">
        <v>0.009</v>
      </c>
    </row>
    <row r="68" spans="1:4" ht="12.75">
      <c r="A68" s="12"/>
      <c r="B68" s="32"/>
      <c r="C68" s="30" t="s">
        <v>1</v>
      </c>
      <c r="D68" s="132">
        <v>1.92</v>
      </c>
    </row>
    <row r="69" spans="1:4" ht="12.75">
      <c r="A69" s="12" t="s">
        <v>371</v>
      </c>
      <c r="B69" s="137" t="s">
        <v>113</v>
      </c>
      <c r="C69" s="30" t="s">
        <v>2</v>
      </c>
      <c r="D69" s="133">
        <v>0.0108</v>
      </c>
    </row>
    <row r="70" spans="1:4" ht="12.75">
      <c r="A70" s="12"/>
      <c r="B70" s="16"/>
      <c r="C70" s="30" t="s">
        <v>1</v>
      </c>
      <c r="D70" s="132">
        <f>D69*34.393</f>
        <v>0.3714444</v>
      </c>
    </row>
    <row r="71" spans="1:4" ht="12.75">
      <c r="A71" s="12" t="s">
        <v>372</v>
      </c>
      <c r="B71" s="137" t="s">
        <v>113</v>
      </c>
      <c r="C71" s="31" t="s">
        <v>2</v>
      </c>
      <c r="D71" s="133">
        <v>0.006</v>
      </c>
    </row>
    <row r="72" spans="1:4" ht="12.75">
      <c r="A72" s="12"/>
      <c r="B72" s="20"/>
      <c r="C72" s="31" t="s">
        <v>1</v>
      </c>
      <c r="D72" s="132">
        <f>D71*34.393</f>
        <v>0.206358</v>
      </c>
    </row>
    <row r="73" spans="1:4" ht="12.75">
      <c r="A73" s="12" t="s">
        <v>386</v>
      </c>
      <c r="B73" s="137" t="s">
        <v>113</v>
      </c>
      <c r="C73" s="30" t="s">
        <v>2</v>
      </c>
      <c r="D73" s="131">
        <v>0.008</v>
      </c>
    </row>
    <row r="74" spans="1:4" ht="12.75">
      <c r="A74" s="12"/>
      <c r="B74" s="16"/>
      <c r="C74" s="30" t="s">
        <v>1</v>
      </c>
      <c r="D74" s="131">
        <v>0.776</v>
      </c>
    </row>
    <row r="75" spans="1:4" ht="12.75">
      <c r="A75" s="16" t="s">
        <v>387</v>
      </c>
      <c r="B75" s="137" t="s">
        <v>113</v>
      </c>
      <c r="C75" s="31" t="s">
        <v>2</v>
      </c>
      <c r="D75" s="134">
        <v>1.22</v>
      </c>
    </row>
    <row r="76" spans="1:4" ht="12.75">
      <c r="A76" s="20"/>
      <c r="B76" s="20"/>
      <c r="C76" s="31" t="s">
        <v>1</v>
      </c>
      <c r="D76" s="134">
        <v>917.37593</v>
      </c>
    </row>
    <row r="77" spans="1:4" ht="12.75">
      <c r="A77" s="12" t="s">
        <v>391</v>
      </c>
      <c r="B77" s="137" t="s">
        <v>113</v>
      </c>
      <c r="C77" s="30" t="s">
        <v>2</v>
      </c>
      <c r="D77" s="131">
        <v>0.07</v>
      </c>
    </row>
    <row r="78" spans="1:4" ht="12.75">
      <c r="A78" s="12"/>
      <c r="B78" s="32"/>
      <c r="C78" s="30" t="s">
        <v>1</v>
      </c>
      <c r="D78" s="131">
        <v>15.6</v>
      </c>
    </row>
    <row r="79" spans="1:4" ht="12.75">
      <c r="A79" s="16" t="s">
        <v>392</v>
      </c>
      <c r="B79" s="137" t="s">
        <v>113</v>
      </c>
      <c r="C79" s="30" t="s">
        <v>2</v>
      </c>
      <c r="D79" s="136">
        <v>0.064</v>
      </c>
    </row>
    <row r="80" spans="1:4" ht="12.75">
      <c r="A80" s="20"/>
      <c r="B80" s="16"/>
      <c r="C80" s="30" t="s">
        <v>1</v>
      </c>
      <c r="D80" s="135">
        <f>12.31+25</f>
        <v>37.31</v>
      </c>
    </row>
    <row r="81" spans="1:4" ht="12.75">
      <c r="A81" s="16" t="s">
        <v>393</v>
      </c>
      <c r="B81" s="137" t="s">
        <v>113</v>
      </c>
      <c r="C81" s="31" t="s">
        <v>2</v>
      </c>
      <c r="D81" s="131">
        <f>0.043+0.021</f>
        <v>0.064</v>
      </c>
    </row>
    <row r="82" spans="1:4" ht="12.75">
      <c r="A82" s="12"/>
      <c r="B82" s="20"/>
      <c r="C82" s="31" t="s">
        <v>1</v>
      </c>
      <c r="D82" s="132">
        <f>11.35+2.78+0.7+0.72</f>
        <v>15.549999999999999</v>
      </c>
    </row>
    <row r="83" spans="1:4" ht="12.75">
      <c r="A83" s="12" t="s">
        <v>394</v>
      </c>
      <c r="B83" s="137" t="s">
        <v>113</v>
      </c>
      <c r="C83" s="30" t="s">
        <v>2</v>
      </c>
      <c r="D83" s="131">
        <f>0.011+0.018</f>
        <v>0.028999999999999998</v>
      </c>
    </row>
    <row r="84" spans="1:4" ht="12.75">
      <c r="A84" s="12"/>
      <c r="B84" s="16"/>
      <c r="C84" s="30" t="s">
        <v>1</v>
      </c>
      <c r="D84" s="132">
        <f>3.97+2.35</f>
        <v>6.32</v>
      </c>
    </row>
    <row r="85" spans="1:4" ht="25.5">
      <c r="A85" s="16" t="s">
        <v>398</v>
      </c>
      <c r="B85" s="137" t="s">
        <v>113</v>
      </c>
      <c r="C85" s="31" t="s">
        <v>2</v>
      </c>
      <c r="D85" s="131">
        <f>'[1]приложение 2'!$AP$16+'[1]приложение 2'!$AQ$16</f>
        <v>0.437</v>
      </c>
    </row>
    <row r="86" spans="1:4" ht="12.75">
      <c r="A86" s="12"/>
      <c r="B86" s="20"/>
      <c r="C86" s="31" t="s">
        <v>1</v>
      </c>
      <c r="D86" s="131">
        <f>'[1]приложение 2'!$AP$17+'[1]приложение 2'!$AQ$17</f>
        <v>265.17</v>
      </c>
    </row>
    <row r="87" spans="1:4" ht="12.75">
      <c r="A87" s="16" t="s">
        <v>399</v>
      </c>
      <c r="B87" s="137" t="s">
        <v>113</v>
      </c>
      <c r="C87" s="30" t="s">
        <v>2</v>
      </c>
      <c r="D87" s="134">
        <v>0.014</v>
      </c>
    </row>
    <row r="88" spans="1:4" ht="12.75">
      <c r="A88" s="12"/>
      <c r="B88" s="32"/>
      <c r="C88" s="30" t="s">
        <v>1</v>
      </c>
      <c r="D88" s="135">
        <v>2.62</v>
      </c>
    </row>
    <row r="89" spans="1:4" ht="12.75">
      <c r="A89" s="12" t="s">
        <v>402</v>
      </c>
      <c r="B89" s="137" t="s">
        <v>113</v>
      </c>
      <c r="C89" s="30" t="s">
        <v>2</v>
      </c>
      <c r="D89" s="131">
        <f>'[2]приложение 2'!$AV$16+'[2]приложение 2'!$AV$18+'[2]приложение 2'!$AV$20+'[2]приложение 2'!$AV$22+'[2]приложение 2'!$AV$24+'[3]приложение 4'!$AV$17+'[3]приложение 4'!$AW$17</f>
        <v>0.394</v>
      </c>
    </row>
    <row r="90" spans="1:4" ht="12.75">
      <c r="A90" s="12"/>
      <c r="B90" s="32"/>
      <c r="C90" s="30" t="s">
        <v>1</v>
      </c>
      <c r="D90" s="131">
        <f>41.99+'[3]приложение 4'!$AV$18+'[3]приложение 4'!$AW$18</f>
        <v>164.52291</v>
      </c>
    </row>
    <row r="91" spans="1:4" ht="12.75">
      <c r="A91" s="56"/>
      <c r="B91" s="33" t="s">
        <v>113</v>
      </c>
      <c r="C91" s="34" t="s">
        <v>2</v>
      </c>
      <c r="D91" s="80">
        <f>D7+D9+D11+D13+D15+D17+D19+D21+D23+D25+D27+D29+D31+D33+D35+D37+D39+D41+D43+D45+D47+D49+D51+D53+D55+D57+D59+D61+D63+D65+D67+D69+D71+D73+D75+D77+D79+D81+D83+D85+D87+D89</f>
        <v>4.7703</v>
      </c>
    </row>
    <row r="92" spans="1:4" ht="12.75">
      <c r="A92" s="56"/>
      <c r="B92" s="35"/>
      <c r="C92" s="34" t="s">
        <v>1</v>
      </c>
      <c r="D92" s="80">
        <f>D8+D10+D12+D14+D16+D18+D20+D22+D24+D26+D28+D30+D32+D34+D36+D38+D40+D42+D44+D46+D48+D50+D52+D54+D56+D58+D60+D62+D64+D66+D68+D70+D72+D74+D76+D78+D80+D82+D84+D86+D88+D90</f>
        <v>1824.8662841599996</v>
      </c>
    </row>
    <row r="93" spans="1:4" ht="12.75">
      <c r="A93" s="28"/>
      <c r="B93" s="28"/>
      <c r="C93" s="29"/>
      <c r="D93" s="155"/>
    </row>
    <row r="94" spans="1:4" ht="12.75">
      <c r="A94" s="12" t="s">
        <v>235</v>
      </c>
      <c r="B94" s="138" t="s">
        <v>114</v>
      </c>
      <c r="C94" s="30" t="s">
        <v>2</v>
      </c>
      <c r="D94" s="133">
        <v>0.0005</v>
      </c>
    </row>
    <row r="95" spans="1:4" ht="12.75">
      <c r="A95" s="13"/>
      <c r="B95" s="13"/>
      <c r="C95" s="30" t="s">
        <v>1</v>
      </c>
      <c r="D95" s="132">
        <v>0.04</v>
      </c>
    </row>
    <row r="96" spans="1:4" ht="12.75">
      <c r="A96" s="12" t="s">
        <v>236</v>
      </c>
      <c r="B96" s="138" t="s">
        <v>114</v>
      </c>
      <c r="C96" s="31" t="s">
        <v>2</v>
      </c>
      <c r="D96" s="133">
        <v>0.0005</v>
      </c>
    </row>
    <row r="97" spans="1:4" ht="12.75">
      <c r="A97" s="13"/>
      <c r="B97" s="16"/>
      <c r="C97" s="31" t="s">
        <v>1</v>
      </c>
      <c r="D97" s="132">
        <v>0.04</v>
      </c>
    </row>
    <row r="98" spans="1:4" ht="12.75">
      <c r="A98" s="12" t="s">
        <v>237</v>
      </c>
      <c r="B98" s="138" t="s">
        <v>114</v>
      </c>
      <c r="C98" s="30" t="s">
        <v>2</v>
      </c>
      <c r="D98" s="133">
        <v>0.0023</v>
      </c>
    </row>
    <row r="99" spans="1:4" ht="12.75">
      <c r="A99" s="12"/>
      <c r="B99" s="12"/>
      <c r="C99" s="30" t="s">
        <v>1</v>
      </c>
      <c r="D99" s="132">
        <v>0.79255</v>
      </c>
    </row>
    <row r="100" spans="1:4" ht="12.75">
      <c r="A100" s="12" t="s">
        <v>238</v>
      </c>
      <c r="B100" s="139" t="s">
        <v>64</v>
      </c>
      <c r="C100" s="31" t="s">
        <v>2</v>
      </c>
      <c r="D100" s="133">
        <v>0.0025</v>
      </c>
    </row>
    <row r="101" spans="1:4" ht="12.75">
      <c r="A101" s="12"/>
      <c r="B101" s="16"/>
      <c r="C101" s="31" t="s">
        <v>1</v>
      </c>
      <c r="D101" s="132">
        <v>0.23617</v>
      </c>
    </row>
    <row r="102" spans="1:4" ht="12.75">
      <c r="A102" s="12" t="s">
        <v>239</v>
      </c>
      <c r="B102" s="139" t="s">
        <v>64</v>
      </c>
      <c r="C102" s="30" t="s">
        <v>2</v>
      </c>
      <c r="D102" s="133">
        <v>0.0025</v>
      </c>
    </row>
    <row r="103" spans="1:4" ht="12.75">
      <c r="A103" s="12"/>
      <c r="B103" s="139"/>
      <c r="C103" s="30" t="s">
        <v>1</v>
      </c>
      <c r="D103" s="132">
        <v>0.23617</v>
      </c>
    </row>
    <row r="104" spans="1:4" ht="12.75">
      <c r="A104" s="12" t="s">
        <v>240</v>
      </c>
      <c r="B104" s="139" t="s">
        <v>64</v>
      </c>
      <c r="C104" s="30" t="s">
        <v>2</v>
      </c>
      <c r="D104" s="133">
        <v>0.0015</v>
      </c>
    </row>
    <row r="105" spans="1:4" ht="12.75">
      <c r="A105" s="12"/>
      <c r="B105" s="13"/>
      <c r="C105" s="30" t="s">
        <v>1</v>
      </c>
      <c r="D105" s="132">
        <v>0.472</v>
      </c>
    </row>
    <row r="106" spans="1:4" ht="12.75">
      <c r="A106" s="12" t="s">
        <v>241</v>
      </c>
      <c r="B106" s="139" t="s">
        <v>194</v>
      </c>
      <c r="C106" s="30" t="s">
        <v>2</v>
      </c>
      <c r="D106" s="131">
        <v>0.003</v>
      </c>
    </row>
    <row r="107" spans="1:4" ht="12.75">
      <c r="A107" s="12"/>
      <c r="B107" s="17"/>
      <c r="C107" s="31" t="s">
        <v>1</v>
      </c>
      <c r="D107" s="132">
        <f>1033.26/2/1000</f>
        <v>0.51663</v>
      </c>
    </row>
    <row r="108" spans="1:4" ht="12.75">
      <c r="A108" s="12" t="s">
        <v>242</v>
      </c>
      <c r="B108" s="138" t="s">
        <v>114</v>
      </c>
      <c r="C108" s="30" t="s">
        <v>2</v>
      </c>
      <c r="D108" s="131">
        <v>0.003</v>
      </c>
    </row>
    <row r="109" spans="1:4" ht="12.75">
      <c r="A109" s="12"/>
      <c r="B109" s="13"/>
      <c r="C109" s="31" t="s">
        <v>1</v>
      </c>
      <c r="D109" s="132">
        <f>1033.26/2/1000</f>
        <v>0.51663</v>
      </c>
    </row>
    <row r="110" spans="1:4" ht="12.75">
      <c r="A110" s="12" t="s">
        <v>243</v>
      </c>
      <c r="B110" s="138" t="s">
        <v>114</v>
      </c>
      <c r="C110" s="30" t="s">
        <v>2</v>
      </c>
      <c r="D110" s="133">
        <v>0.001</v>
      </c>
    </row>
    <row r="111" spans="1:4" ht="12.75">
      <c r="A111" s="12"/>
      <c r="B111" s="16"/>
      <c r="C111" s="31" t="s">
        <v>1</v>
      </c>
      <c r="D111" s="133">
        <v>0.125</v>
      </c>
    </row>
    <row r="112" spans="1:4" ht="12.75">
      <c r="A112" s="12" t="s">
        <v>244</v>
      </c>
      <c r="B112" s="138" t="s">
        <v>114</v>
      </c>
      <c r="C112" s="31" t="s">
        <v>2</v>
      </c>
      <c r="D112" s="133">
        <v>0.0015</v>
      </c>
    </row>
    <row r="113" spans="1:4" ht="12.75">
      <c r="A113" s="12"/>
      <c r="B113" s="12"/>
      <c r="C113" s="31" t="s">
        <v>1</v>
      </c>
      <c r="D113" s="133">
        <v>0.1878</v>
      </c>
    </row>
    <row r="114" spans="1:4" ht="12.75">
      <c r="A114" s="12" t="s">
        <v>245</v>
      </c>
      <c r="B114" s="139" t="s">
        <v>64</v>
      </c>
      <c r="C114" s="30" t="s">
        <v>2</v>
      </c>
      <c r="D114" s="133">
        <v>0.001</v>
      </c>
    </row>
    <row r="115" spans="1:4" ht="12.75">
      <c r="A115" s="12"/>
      <c r="B115" s="16"/>
      <c r="C115" s="30" t="s">
        <v>1</v>
      </c>
      <c r="D115" s="133">
        <v>0.055</v>
      </c>
    </row>
    <row r="116" spans="1:4" ht="12.75">
      <c r="A116" s="12" t="s">
        <v>246</v>
      </c>
      <c r="B116" s="139" t="s">
        <v>64</v>
      </c>
      <c r="C116" s="30" t="s">
        <v>2</v>
      </c>
      <c r="D116" s="133">
        <v>0.003</v>
      </c>
    </row>
    <row r="117" spans="1:4" ht="12.75">
      <c r="A117" s="12"/>
      <c r="B117" s="13"/>
      <c r="C117" s="30" t="s">
        <v>1</v>
      </c>
      <c r="D117" s="133">
        <v>0.165</v>
      </c>
    </row>
    <row r="118" spans="1:4" ht="12.75">
      <c r="A118" s="12" t="s">
        <v>247</v>
      </c>
      <c r="B118" s="139" t="s">
        <v>64</v>
      </c>
      <c r="C118" s="30" t="s">
        <v>2</v>
      </c>
      <c r="D118" s="131">
        <v>0.001</v>
      </c>
    </row>
    <row r="119" spans="1:4" ht="12.75">
      <c r="A119" s="12"/>
      <c r="B119" s="13"/>
      <c r="C119" s="30" t="s">
        <v>1</v>
      </c>
      <c r="D119" s="132">
        <v>1.84</v>
      </c>
    </row>
    <row r="120" spans="1:4" ht="12.75">
      <c r="A120" s="12" t="s">
        <v>248</v>
      </c>
      <c r="B120" s="138" t="s">
        <v>114</v>
      </c>
      <c r="C120" s="30" t="s">
        <v>2</v>
      </c>
      <c r="D120" s="133">
        <v>0.001</v>
      </c>
    </row>
    <row r="121" spans="1:4" ht="12.75">
      <c r="A121" s="12"/>
      <c r="B121" s="13"/>
      <c r="C121" s="30" t="s">
        <v>1</v>
      </c>
      <c r="D121" s="132">
        <v>1.84</v>
      </c>
    </row>
    <row r="122" spans="1:4" ht="12.75">
      <c r="A122" s="12" t="s">
        <v>249</v>
      </c>
      <c r="B122" s="138" t="s">
        <v>114</v>
      </c>
      <c r="C122" s="30" t="s">
        <v>2</v>
      </c>
      <c r="D122" s="133">
        <v>0.0004</v>
      </c>
    </row>
    <row r="123" spans="1:4" ht="12.75">
      <c r="A123" s="13"/>
      <c r="B123" s="137"/>
      <c r="C123" s="30" t="s">
        <v>1</v>
      </c>
      <c r="D123" s="132">
        <v>0.04578</v>
      </c>
    </row>
    <row r="124" spans="1:4" ht="12.75">
      <c r="A124" s="12" t="s">
        <v>250</v>
      </c>
      <c r="B124" s="138" t="s">
        <v>114</v>
      </c>
      <c r="C124" s="30" t="s">
        <v>2</v>
      </c>
      <c r="D124" s="133">
        <v>0.004</v>
      </c>
    </row>
    <row r="125" spans="1:4" ht="12.75">
      <c r="A125" s="13"/>
      <c r="B125" s="19"/>
      <c r="C125" s="30" t="s">
        <v>1</v>
      </c>
      <c r="D125" s="132">
        <v>0.21999</v>
      </c>
    </row>
    <row r="126" spans="1:4" ht="12.75">
      <c r="A126" s="12" t="s">
        <v>251</v>
      </c>
      <c r="B126" s="139" t="s">
        <v>64</v>
      </c>
      <c r="C126" s="30" t="s">
        <v>2</v>
      </c>
      <c r="D126" s="133">
        <v>0.002</v>
      </c>
    </row>
    <row r="127" spans="1:4" ht="12.75">
      <c r="A127" s="12"/>
      <c r="B127" s="137"/>
      <c r="C127" s="30" t="s">
        <v>1</v>
      </c>
      <c r="D127" s="132">
        <v>0.34442</v>
      </c>
    </row>
    <row r="128" spans="1:4" ht="12.75">
      <c r="A128" s="12" t="s">
        <v>252</v>
      </c>
      <c r="B128" s="139" t="s">
        <v>64</v>
      </c>
      <c r="C128" s="30" t="s">
        <v>2</v>
      </c>
      <c r="D128" s="133">
        <v>0.003</v>
      </c>
    </row>
    <row r="129" spans="1:4" ht="12.75">
      <c r="A129" s="12"/>
      <c r="B129" s="139"/>
      <c r="C129" s="31" t="s">
        <v>1</v>
      </c>
      <c r="D129" s="132">
        <v>0.51663</v>
      </c>
    </row>
    <row r="130" spans="1:4" ht="12.75">
      <c r="A130" s="12" t="s">
        <v>253</v>
      </c>
      <c r="B130" s="139" t="s">
        <v>64</v>
      </c>
      <c r="C130" s="30" t="s">
        <v>2</v>
      </c>
      <c r="D130" s="133">
        <v>0.003</v>
      </c>
    </row>
    <row r="131" spans="1:4" ht="12.75">
      <c r="A131" s="12"/>
      <c r="B131" s="17"/>
      <c r="C131" s="31" t="s">
        <v>1</v>
      </c>
      <c r="D131" s="132">
        <v>0.51663</v>
      </c>
    </row>
    <row r="132" spans="1:4" ht="12.75">
      <c r="A132" s="12" t="s">
        <v>254</v>
      </c>
      <c r="B132" s="138" t="s">
        <v>114</v>
      </c>
      <c r="C132" s="31" t="s">
        <v>2</v>
      </c>
      <c r="D132" s="133">
        <v>0.003</v>
      </c>
    </row>
    <row r="133" spans="1:4" ht="12.75">
      <c r="A133" s="12"/>
      <c r="B133" s="139"/>
      <c r="C133" s="31" t="s">
        <v>1</v>
      </c>
      <c r="D133" s="132">
        <v>0.51663</v>
      </c>
    </row>
    <row r="134" spans="1:4" ht="12.75">
      <c r="A134" s="12" t="s">
        <v>255</v>
      </c>
      <c r="B134" s="138" t="s">
        <v>114</v>
      </c>
      <c r="C134" s="30" t="s">
        <v>2</v>
      </c>
      <c r="D134" s="133">
        <v>0.018</v>
      </c>
    </row>
    <row r="135" spans="1:4" ht="12.75">
      <c r="A135" s="12"/>
      <c r="B135" s="137"/>
      <c r="C135" s="30" t="s">
        <v>1</v>
      </c>
      <c r="D135" s="132">
        <v>2.25393</v>
      </c>
    </row>
    <row r="136" spans="1:4" ht="12.75">
      <c r="A136" s="13" t="s">
        <v>271</v>
      </c>
      <c r="B136" s="138" t="s">
        <v>114</v>
      </c>
      <c r="C136" s="30" t="s">
        <v>2</v>
      </c>
      <c r="D136" s="131">
        <v>0.015</v>
      </c>
    </row>
    <row r="137" spans="1:4" ht="12.75">
      <c r="A137" s="12"/>
      <c r="B137" s="12"/>
      <c r="C137" s="30" t="s">
        <v>1</v>
      </c>
      <c r="D137" s="131">
        <v>0.134</v>
      </c>
    </row>
    <row r="138" spans="1:4" ht="12.75">
      <c r="A138" s="13" t="s">
        <v>272</v>
      </c>
      <c r="B138" s="139" t="s">
        <v>64</v>
      </c>
      <c r="C138" s="30" t="s">
        <v>2</v>
      </c>
      <c r="D138" s="131">
        <v>0.005</v>
      </c>
    </row>
    <row r="139" spans="1:4" ht="12.75">
      <c r="A139" s="13"/>
      <c r="B139" s="137"/>
      <c r="C139" s="31" t="s">
        <v>1</v>
      </c>
      <c r="D139" s="131">
        <f>0.678/2</f>
        <v>0.339</v>
      </c>
    </row>
    <row r="140" spans="1:4" ht="12.75">
      <c r="A140" s="13" t="s">
        <v>273</v>
      </c>
      <c r="B140" s="139" t="s">
        <v>64</v>
      </c>
      <c r="C140" s="31" t="s">
        <v>2</v>
      </c>
      <c r="D140" s="131">
        <v>0.005</v>
      </c>
    </row>
    <row r="141" spans="1:4" ht="12.75">
      <c r="A141" s="24"/>
      <c r="B141" s="139"/>
      <c r="C141" s="31" t="s">
        <v>1</v>
      </c>
      <c r="D141" s="131">
        <f>0.678/2</f>
        <v>0.339</v>
      </c>
    </row>
    <row r="142" spans="1:4" ht="12.75">
      <c r="A142" s="12" t="s">
        <v>274</v>
      </c>
      <c r="B142" s="139" t="s">
        <v>64</v>
      </c>
      <c r="C142" s="30" t="s">
        <v>2</v>
      </c>
      <c r="D142" s="133">
        <v>0.0033</v>
      </c>
    </row>
    <row r="143" spans="1:4" ht="12.75">
      <c r="A143" s="13"/>
      <c r="B143" s="139"/>
      <c r="C143" s="30" t="s">
        <v>1</v>
      </c>
      <c r="D143" s="131">
        <f>5.12/3</f>
        <v>1.7066666666666668</v>
      </c>
    </row>
    <row r="144" spans="1:4" ht="12.75">
      <c r="A144" s="12" t="s">
        <v>275</v>
      </c>
      <c r="B144" s="139" t="s">
        <v>64</v>
      </c>
      <c r="C144" s="30" t="s">
        <v>2</v>
      </c>
      <c r="D144" s="133">
        <v>0.0033</v>
      </c>
    </row>
    <row r="145" spans="1:4" ht="12.75">
      <c r="A145" s="13"/>
      <c r="B145" s="139"/>
      <c r="C145" s="30" t="s">
        <v>1</v>
      </c>
      <c r="D145" s="131">
        <f>5.12/3</f>
        <v>1.7066666666666668</v>
      </c>
    </row>
    <row r="146" spans="1:4" ht="12.75">
      <c r="A146" s="12" t="s">
        <v>276</v>
      </c>
      <c r="B146" s="139" t="s">
        <v>64</v>
      </c>
      <c r="C146" s="30" t="s">
        <v>2</v>
      </c>
      <c r="D146" s="133">
        <v>0.0033</v>
      </c>
    </row>
    <row r="147" spans="1:4" ht="12.75">
      <c r="A147" s="17"/>
      <c r="B147" s="13"/>
      <c r="C147" s="31" t="s">
        <v>1</v>
      </c>
      <c r="D147" s="131">
        <f>5.12/3</f>
        <v>1.7066666666666668</v>
      </c>
    </row>
    <row r="148" spans="1:4" ht="12.75">
      <c r="A148" s="12" t="s">
        <v>277</v>
      </c>
      <c r="B148" s="139" t="s">
        <v>64</v>
      </c>
      <c r="C148" s="30" t="s">
        <v>2</v>
      </c>
      <c r="D148" s="130">
        <v>0.0351</v>
      </c>
    </row>
    <row r="149" spans="1:4" ht="12.75">
      <c r="A149" s="13"/>
      <c r="B149" s="13"/>
      <c r="C149" s="30" t="s">
        <v>1</v>
      </c>
      <c r="D149" s="130">
        <v>3.027</v>
      </c>
    </row>
    <row r="150" spans="1:4" ht="12.75">
      <c r="A150" s="13" t="s">
        <v>278</v>
      </c>
      <c r="B150" s="139" t="s">
        <v>64</v>
      </c>
      <c r="C150" s="30" t="s">
        <v>2</v>
      </c>
      <c r="D150" s="131">
        <v>0.005</v>
      </c>
    </row>
    <row r="151" spans="1:4" ht="12.75">
      <c r="A151" s="13"/>
      <c r="B151" s="13"/>
      <c r="C151" s="30" t="s">
        <v>1</v>
      </c>
      <c r="D151" s="131">
        <f>0.678/2</f>
        <v>0.339</v>
      </c>
    </row>
    <row r="152" spans="1:4" ht="12.75">
      <c r="A152" s="13" t="s">
        <v>278</v>
      </c>
      <c r="B152" s="139" t="s">
        <v>64</v>
      </c>
      <c r="C152" s="30" t="s">
        <v>2</v>
      </c>
      <c r="D152" s="131">
        <v>0.005</v>
      </c>
    </row>
    <row r="153" spans="1:4" ht="12.75">
      <c r="A153" s="13"/>
      <c r="B153" s="13"/>
      <c r="C153" s="30" t="s">
        <v>1</v>
      </c>
      <c r="D153" s="131">
        <f>0.678/2</f>
        <v>0.339</v>
      </c>
    </row>
    <row r="154" spans="1:4" ht="12.75">
      <c r="A154" s="13" t="s">
        <v>313</v>
      </c>
      <c r="B154" s="139" t="s">
        <v>64</v>
      </c>
      <c r="C154" s="30" t="s">
        <v>2</v>
      </c>
      <c r="D154" s="131">
        <v>0.0174</v>
      </c>
    </row>
    <row r="155" spans="1:4" ht="12.75">
      <c r="A155" s="17"/>
      <c r="B155" s="13"/>
      <c r="C155" s="30" t="s">
        <v>1</v>
      </c>
      <c r="D155" s="131">
        <v>1.278</v>
      </c>
    </row>
    <row r="156" spans="1:4" ht="12.75">
      <c r="A156" s="56"/>
      <c r="B156" s="56"/>
      <c r="C156" s="57" t="s">
        <v>2</v>
      </c>
      <c r="D156" s="91">
        <f>D94+D96+D98+D100+D102+D104+D106+D108+D110+D112+D114+D116+D118+D120+D122+D124+D126+D128+D130+D132+D134+D136+D138+D140+D142+D144+D146+D148+D150+D152+D154</f>
        <v>0.15510000000000002</v>
      </c>
    </row>
    <row r="157" spans="1:4" ht="12.75">
      <c r="A157" s="56"/>
      <c r="B157" s="56"/>
      <c r="C157" s="57" t="s">
        <v>1</v>
      </c>
      <c r="D157" s="67">
        <f>D95+D97+D99+D101+D103+D105+D107+D109+D111+D113+D115+D117+D119+D121+D123+D125+D127+D129+D131+D133+D135+D137+D139+D141+D143+D145+D147+D149+D151+D153+D155</f>
        <v>22.391959999999997</v>
      </c>
    </row>
    <row r="158" spans="1:4" ht="12.75">
      <c r="A158" s="42" t="s">
        <v>280</v>
      </c>
      <c r="B158" s="138" t="s">
        <v>114</v>
      </c>
      <c r="C158" s="30" t="s">
        <v>2</v>
      </c>
      <c r="D158" s="131">
        <v>0.452</v>
      </c>
    </row>
    <row r="159" spans="1:4" ht="12.75">
      <c r="A159" s="12"/>
      <c r="B159" s="139"/>
      <c r="C159" s="30" t="s">
        <v>1</v>
      </c>
      <c r="D159" s="131">
        <v>101.114</v>
      </c>
    </row>
    <row r="160" spans="1:4" ht="12.75">
      <c r="A160" s="42" t="s">
        <v>281</v>
      </c>
      <c r="B160" s="138" t="s">
        <v>114</v>
      </c>
      <c r="C160" s="30" t="s">
        <v>2</v>
      </c>
      <c r="D160" s="131">
        <v>0.04</v>
      </c>
    </row>
    <row r="161" spans="1:4" ht="12.75">
      <c r="A161" s="13"/>
      <c r="B161" s="137"/>
      <c r="C161" s="30" t="s">
        <v>1</v>
      </c>
      <c r="D161" s="131">
        <v>2.628</v>
      </c>
    </row>
    <row r="162" spans="1:4" ht="12.75">
      <c r="A162" s="42" t="s">
        <v>282</v>
      </c>
      <c r="B162" s="138" t="s">
        <v>114</v>
      </c>
      <c r="C162" s="30" t="s">
        <v>2</v>
      </c>
      <c r="D162" s="131">
        <v>0.006</v>
      </c>
    </row>
    <row r="163" spans="1:4" ht="12.75">
      <c r="A163" s="12"/>
      <c r="B163" s="12"/>
      <c r="C163" s="30" t="s">
        <v>1</v>
      </c>
      <c r="D163" s="131">
        <v>1.409</v>
      </c>
    </row>
    <row r="164" spans="1:4" ht="12.75">
      <c r="A164" s="12" t="s">
        <v>283</v>
      </c>
      <c r="B164" s="139" t="s">
        <v>64</v>
      </c>
      <c r="C164" s="30" t="s">
        <v>2</v>
      </c>
      <c r="D164" s="131">
        <v>0.005</v>
      </c>
    </row>
    <row r="165" spans="1:4" ht="12.75">
      <c r="A165" s="12"/>
      <c r="B165" s="137"/>
      <c r="C165" s="30" t="s">
        <v>1</v>
      </c>
      <c r="D165" s="131">
        <f>0.825/2</f>
        <v>0.4125</v>
      </c>
    </row>
    <row r="166" spans="1:4" ht="12.75">
      <c r="A166" s="12" t="s">
        <v>284</v>
      </c>
      <c r="B166" s="139" t="s">
        <v>64</v>
      </c>
      <c r="C166" s="30" t="s">
        <v>2</v>
      </c>
      <c r="D166" s="131">
        <v>0.005</v>
      </c>
    </row>
    <row r="167" spans="1:4" ht="12.75">
      <c r="A167" s="12"/>
      <c r="B167" s="139"/>
      <c r="C167" s="30" t="s">
        <v>1</v>
      </c>
      <c r="D167" s="131">
        <f>0.825/2</f>
        <v>0.4125</v>
      </c>
    </row>
    <row r="168" spans="1:4" ht="12.75">
      <c r="A168" s="12" t="s">
        <v>285</v>
      </c>
      <c r="B168" s="139" t="s">
        <v>64</v>
      </c>
      <c r="C168" s="30" t="s">
        <v>2</v>
      </c>
      <c r="D168" s="131">
        <v>0.005</v>
      </c>
    </row>
    <row r="169" spans="1:4" ht="12.75">
      <c r="A169" s="12"/>
      <c r="B169" s="139"/>
      <c r="C169" s="30" t="s">
        <v>1</v>
      </c>
      <c r="D169" s="131">
        <v>0.3705</v>
      </c>
    </row>
    <row r="170" spans="1:4" ht="12.75">
      <c r="A170" s="12" t="s">
        <v>286</v>
      </c>
      <c r="B170" s="139" t="s">
        <v>64</v>
      </c>
      <c r="C170" s="30" t="s">
        <v>2</v>
      </c>
      <c r="D170" s="131">
        <f>0.005*3</f>
        <v>0.015</v>
      </c>
    </row>
    <row r="171" spans="1:4" ht="12.75">
      <c r="A171" s="12"/>
      <c r="B171" s="139"/>
      <c r="C171" s="30" t="s">
        <v>1</v>
      </c>
      <c r="D171" s="131">
        <f>0.3705*3</f>
        <v>1.1115</v>
      </c>
    </row>
    <row r="172" spans="1:4" ht="12.75">
      <c r="A172" s="12" t="s">
        <v>290</v>
      </c>
      <c r="B172" s="139" t="s">
        <v>64</v>
      </c>
      <c r="C172" s="30" t="s">
        <v>2</v>
      </c>
      <c r="D172" s="133">
        <f>0.02/3</f>
        <v>0.006666666666666667</v>
      </c>
    </row>
    <row r="173" spans="1:4" ht="12.75">
      <c r="A173" s="12"/>
      <c r="B173" s="13"/>
      <c r="C173" s="30" t="s">
        <v>1</v>
      </c>
      <c r="D173" s="131">
        <f>1.482/3</f>
        <v>0.494</v>
      </c>
    </row>
    <row r="174" spans="1:4" ht="12.75">
      <c r="A174" s="12" t="s">
        <v>291</v>
      </c>
      <c r="B174" s="139" t="s">
        <v>64</v>
      </c>
      <c r="C174" s="30" t="s">
        <v>2</v>
      </c>
      <c r="D174" s="133">
        <f>0.02/3</f>
        <v>0.006666666666666667</v>
      </c>
    </row>
    <row r="175" spans="1:4" ht="12.75">
      <c r="A175" s="12"/>
      <c r="B175" s="13"/>
      <c r="C175" s="30" t="s">
        <v>1</v>
      </c>
      <c r="D175" s="131">
        <f>1.482/3</f>
        <v>0.494</v>
      </c>
    </row>
    <row r="176" spans="1:4" ht="12.75">
      <c r="A176" s="13" t="s">
        <v>292</v>
      </c>
      <c r="B176" s="139" t="s">
        <v>64</v>
      </c>
      <c r="C176" s="30" t="s">
        <v>2</v>
      </c>
      <c r="D176" s="133">
        <f>0.02/3</f>
        <v>0.006666666666666667</v>
      </c>
    </row>
    <row r="177" spans="1:4" ht="12.75">
      <c r="A177" s="12"/>
      <c r="B177" s="13"/>
      <c r="C177" s="30" t="s">
        <v>1</v>
      </c>
      <c r="D177" s="131">
        <f>1.482/3</f>
        <v>0.494</v>
      </c>
    </row>
    <row r="178" spans="1:4" ht="12.75">
      <c r="A178" s="12" t="s">
        <v>293</v>
      </c>
      <c r="B178" s="139" t="s">
        <v>64</v>
      </c>
      <c r="C178" s="30" t="s">
        <v>2</v>
      </c>
      <c r="D178" s="133">
        <f>0.365/6</f>
        <v>0.06083333333333333</v>
      </c>
    </row>
    <row r="179" spans="1:4" ht="12.75">
      <c r="A179" s="12"/>
      <c r="B179" s="13"/>
      <c r="C179" s="30" t="s">
        <v>1</v>
      </c>
      <c r="D179" s="131">
        <f>127.913/0.582*D178</f>
        <v>13.37005870561283</v>
      </c>
    </row>
    <row r="180" spans="1:4" ht="12.75">
      <c r="A180" s="12" t="s">
        <v>294</v>
      </c>
      <c r="B180" s="139" t="s">
        <v>64</v>
      </c>
      <c r="C180" s="31" t="s">
        <v>2</v>
      </c>
      <c r="D180" s="133">
        <f>0.365/6</f>
        <v>0.06083333333333333</v>
      </c>
    </row>
    <row r="181" spans="1:4" ht="12.75">
      <c r="A181" s="12"/>
      <c r="B181" s="19"/>
      <c r="C181" s="31" t="s">
        <v>1</v>
      </c>
      <c r="D181" s="131">
        <f>127.913/0.582*D180</f>
        <v>13.37005870561283</v>
      </c>
    </row>
    <row r="182" spans="1:4" ht="12.75">
      <c r="A182" s="12" t="s">
        <v>295</v>
      </c>
      <c r="B182" s="138" t="s">
        <v>114</v>
      </c>
      <c r="C182" s="31" t="s">
        <v>2</v>
      </c>
      <c r="D182" s="133">
        <f>0.365/6</f>
        <v>0.06083333333333333</v>
      </c>
    </row>
    <row r="183" spans="1:4" ht="12.75">
      <c r="A183" s="12"/>
      <c r="B183" s="139"/>
      <c r="C183" s="31" t="s">
        <v>1</v>
      </c>
      <c r="D183" s="131">
        <f>127.913/0.582*D182</f>
        <v>13.37005870561283</v>
      </c>
    </row>
    <row r="184" spans="1:4" ht="12.75">
      <c r="A184" s="12" t="s">
        <v>296</v>
      </c>
      <c r="B184" s="138" t="s">
        <v>114</v>
      </c>
      <c r="C184" s="31" t="s">
        <v>2</v>
      </c>
      <c r="D184" s="133">
        <f>0.365/6</f>
        <v>0.06083333333333333</v>
      </c>
    </row>
    <row r="185" spans="1:4" ht="12.75">
      <c r="A185" s="12"/>
      <c r="B185" s="137"/>
      <c r="C185" s="31" t="s">
        <v>1</v>
      </c>
      <c r="D185" s="131">
        <f>127.913/0.582*D184</f>
        <v>13.37005870561283</v>
      </c>
    </row>
    <row r="186" spans="1:4" ht="12.75">
      <c r="A186" s="12" t="s">
        <v>297</v>
      </c>
      <c r="B186" s="138" t="s">
        <v>114</v>
      </c>
      <c r="C186" s="30" t="s">
        <v>2</v>
      </c>
      <c r="D186" s="133">
        <f>0.365/6</f>
        <v>0.06083333333333333</v>
      </c>
    </row>
    <row r="187" spans="1:4" ht="12.75">
      <c r="A187" s="12"/>
      <c r="B187" s="12"/>
      <c r="C187" s="30" t="s">
        <v>1</v>
      </c>
      <c r="D187" s="131">
        <f>127.913/0.582*D186</f>
        <v>13.37005870561283</v>
      </c>
    </row>
    <row r="188" spans="1:4" ht="12.75">
      <c r="A188" s="12" t="s">
        <v>298</v>
      </c>
      <c r="B188" s="139" t="s">
        <v>64</v>
      </c>
      <c r="C188" s="30" t="s">
        <v>2</v>
      </c>
      <c r="D188" s="133">
        <f>0.365/6</f>
        <v>0.06083333333333333</v>
      </c>
    </row>
    <row r="189" spans="1:4" ht="12.75">
      <c r="A189" s="12"/>
      <c r="B189" s="137"/>
      <c r="C189" s="30" t="s">
        <v>1</v>
      </c>
      <c r="D189" s="131">
        <f>127.913/0.582*D188</f>
        <v>13.37005870561283</v>
      </c>
    </row>
    <row r="190" spans="1:4" ht="12.75">
      <c r="A190" s="13" t="s">
        <v>299</v>
      </c>
      <c r="B190" s="139" t="s">
        <v>64</v>
      </c>
      <c r="C190" s="30" t="s">
        <v>2</v>
      </c>
      <c r="D190" s="133">
        <f>0.217/3</f>
        <v>0.07233333333333333</v>
      </c>
    </row>
    <row r="191" spans="1:4" ht="12.75">
      <c r="A191" s="156"/>
      <c r="B191" s="139"/>
      <c r="C191" s="30" t="s">
        <v>1</v>
      </c>
      <c r="D191" s="131">
        <f>127.913/0.582*D190</f>
        <v>15.897549255441008</v>
      </c>
    </row>
    <row r="192" spans="1:4" ht="12.75">
      <c r="A192" s="13" t="s">
        <v>300</v>
      </c>
      <c r="B192" s="139" t="s">
        <v>64</v>
      </c>
      <c r="C192" s="30" t="s">
        <v>2</v>
      </c>
      <c r="D192" s="133">
        <f>0.217/3</f>
        <v>0.07233333333333333</v>
      </c>
    </row>
    <row r="193" spans="1:4" ht="12.75">
      <c r="A193" s="13"/>
      <c r="B193" s="139"/>
      <c r="C193" s="30" t="s">
        <v>1</v>
      </c>
      <c r="D193" s="131">
        <f>127.913/0.582*D192</f>
        <v>15.897549255441008</v>
      </c>
    </row>
    <row r="194" spans="1:4" ht="12.75">
      <c r="A194" s="13" t="s">
        <v>301</v>
      </c>
      <c r="B194" s="139" t="s">
        <v>64</v>
      </c>
      <c r="C194" s="30" t="s">
        <v>2</v>
      </c>
      <c r="D194" s="133">
        <f>0.217/3</f>
        <v>0.07233333333333333</v>
      </c>
    </row>
    <row r="195" spans="1:4" ht="12.75">
      <c r="A195" s="12"/>
      <c r="B195" s="139"/>
      <c r="C195" s="30" t="s">
        <v>1</v>
      </c>
      <c r="D195" s="131">
        <f>127.913/0.582*D194</f>
        <v>15.897549255441008</v>
      </c>
    </row>
    <row r="196" spans="1:4" ht="12.75">
      <c r="A196" s="13" t="s">
        <v>302</v>
      </c>
      <c r="B196" s="139" t="s">
        <v>64</v>
      </c>
      <c r="C196" s="30" t="s">
        <v>2</v>
      </c>
      <c r="D196" s="157">
        <v>0.0025</v>
      </c>
    </row>
    <row r="197" spans="1:4" ht="12.75">
      <c r="A197" s="12"/>
      <c r="B197" s="13"/>
      <c r="C197" s="30" t="s">
        <v>1</v>
      </c>
      <c r="D197" s="157">
        <v>0.81</v>
      </c>
    </row>
    <row r="198" spans="1:4" ht="12.75">
      <c r="A198" s="12" t="s">
        <v>303</v>
      </c>
      <c r="B198" s="139" t="s">
        <v>64</v>
      </c>
      <c r="C198" s="30" t="s">
        <v>2</v>
      </c>
      <c r="D198" s="158">
        <f>0.00658+0.0261</f>
        <v>0.03268</v>
      </c>
    </row>
    <row r="199" spans="1:4" ht="12.75">
      <c r="A199" s="12"/>
      <c r="B199" s="13"/>
      <c r="C199" s="30" t="s">
        <v>1</v>
      </c>
      <c r="D199" s="157">
        <f>0.563+1.88</f>
        <v>2.4429999999999996</v>
      </c>
    </row>
    <row r="200" spans="1:4" ht="12.75">
      <c r="A200" s="12" t="s">
        <v>304</v>
      </c>
      <c r="B200" s="139" t="s">
        <v>64</v>
      </c>
      <c r="C200" s="30" t="s">
        <v>2</v>
      </c>
      <c r="D200" s="158">
        <f>0.00658</f>
        <v>0.00658</v>
      </c>
    </row>
    <row r="201" spans="1:4" ht="12.75">
      <c r="A201" s="12"/>
      <c r="B201" s="13"/>
      <c r="C201" s="30" t="s">
        <v>1</v>
      </c>
      <c r="D201" s="157">
        <f>0.563</f>
        <v>0.563</v>
      </c>
    </row>
    <row r="202" spans="1:4" ht="12.75">
      <c r="A202" s="12" t="s">
        <v>305</v>
      </c>
      <c r="B202" s="139" t="s">
        <v>64</v>
      </c>
      <c r="C202" s="30" t="s">
        <v>2</v>
      </c>
      <c r="D202" s="158">
        <f>0.00658</f>
        <v>0.00658</v>
      </c>
    </row>
    <row r="203" spans="1:4" ht="12.75">
      <c r="A203" s="12"/>
      <c r="B203" s="13"/>
      <c r="C203" s="30" t="s">
        <v>1</v>
      </c>
      <c r="D203" s="157">
        <f>0.563</f>
        <v>0.563</v>
      </c>
    </row>
    <row r="204" spans="1:4" ht="12.75">
      <c r="A204" s="12" t="s">
        <v>306</v>
      </c>
      <c r="B204" s="139" t="s">
        <v>64</v>
      </c>
      <c r="C204" s="30" t="s">
        <v>2</v>
      </c>
      <c r="D204" s="158">
        <f>0.00658</f>
        <v>0.00658</v>
      </c>
    </row>
    <row r="205" spans="1:4" ht="12.75">
      <c r="A205" s="12"/>
      <c r="B205" s="137"/>
      <c r="C205" s="30" t="s">
        <v>1</v>
      </c>
      <c r="D205" s="158">
        <f>D203</f>
        <v>0.563</v>
      </c>
    </row>
    <row r="206" spans="1:4" ht="12.75">
      <c r="A206" s="12" t="s">
        <v>307</v>
      </c>
      <c r="B206" s="138" t="s">
        <v>114</v>
      </c>
      <c r="C206" s="30" t="s">
        <v>2</v>
      </c>
      <c r="D206" s="158">
        <v>0.0035</v>
      </c>
    </row>
    <row r="207" spans="1:4" ht="12.75">
      <c r="A207" s="12"/>
      <c r="B207" s="139"/>
      <c r="C207" s="30" t="s">
        <v>1</v>
      </c>
      <c r="D207" s="158">
        <v>0.25224</v>
      </c>
    </row>
    <row r="208" spans="1:4" ht="12.75">
      <c r="A208" s="12" t="s">
        <v>308</v>
      </c>
      <c r="B208" s="138" t="s">
        <v>114</v>
      </c>
      <c r="C208" s="30" t="s">
        <v>2</v>
      </c>
      <c r="D208" s="158">
        <v>0.0052</v>
      </c>
    </row>
    <row r="209" spans="1:4" ht="12.75">
      <c r="A209" s="12"/>
      <c r="B209" s="137"/>
      <c r="C209" s="30" t="s">
        <v>1</v>
      </c>
      <c r="D209" s="158">
        <v>0.37476</v>
      </c>
    </row>
    <row r="210" spans="1:4" ht="12.75">
      <c r="A210" s="12" t="s">
        <v>315</v>
      </c>
      <c r="B210" s="138" t="s">
        <v>114</v>
      </c>
      <c r="C210" s="30" t="s">
        <v>2</v>
      </c>
      <c r="D210" s="133">
        <v>0.07</v>
      </c>
    </row>
    <row r="211" spans="1:4" ht="12.75">
      <c r="A211" s="12"/>
      <c r="B211" s="12"/>
      <c r="C211" s="30" t="s">
        <v>1</v>
      </c>
      <c r="D211" s="131">
        <v>20.3812</v>
      </c>
    </row>
    <row r="212" spans="1:4" ht="12.75">
      <c r="A212" s="12" t="s">
        <v>316</v>
      </c>
      <c r="B212" s="139" t="s">
        <v>64</v>
      </c>
      <c r="C212" s="30" t="s">
        <v>2</v>
      </c>
      <c r="D212" s="133">
        <v>0.08</v>
      </c>
    </row>
    <row r="213" spans="1:4" ht="12.75">
      <c r="A213" s="12"/>
      <c r="B213" s="137"/>
      <c r="C213" s="30" t="s">
        <v>1</v>
      </c>
      <c r="D213" s="131">
        <v>23.2928</v>
      </c>
    </row>
    <row r="214" spans="1:4" ht="12.75">
      <c r="A214" s="13" t="s">
        <v>317</v>
      </c>
      <c r="B214" s="139" t="s">
        <v>64</v>
      </c>
      <c r="C214" s="30" t="s">
        <v>2</v>
      </c>
      <c r="D214" s="133">
        <v>0.209</v>
      </c>
    </row>
    <row r="215" spans="1:4" ht="12.75">
      <c r="A215" s="12" t="s">
        <v>318</v>
      </c>
      <c r="B215" s="139"/>
      <c r="C215" s="30" t="s">
        <v>1</v>
      </c>
      <c r="D215" s="131">
        <v>84.82</v>
      </c>
    </row>
    <row r="216" spans="1:4" ht="25.5">
      <c r="A216" s="16" t="s">
        <v>319</v>
      </c>
      <c r="B216" s="139" t="s">
        <v>64</v>
      </c>
      <c r="C216" s="30" t="s">
        <v>2</v>
      </c>
      <c r="D216" s="136">
        <v>0.374</v>
      </c>
    </row>
    <row r="217" spans="1:4" ht="12.75">
      <c r="A217" s="12"/>
      <c r="B217" s="139"/>
      <c r="C217" s="30" t="s">
        <v>1</v>
      </c>
      <c r="D217" s="131">
        <v>108.89384</v>
      </c>
    </row>
    <row r="218" spans="1:4" ht="38.25">
      <c r="A218" s="16" t="s">
        <v>320</v>
      </c>
      <c r="B218" s="139" t="s">
        <v>64</v>
      </c>
      <c r="C218" s="30" t="s">
        <v>2</v>
      </c>
      <c r="D218" s="136">
        <v>0.582</v>
      </c>
    </row>
    <row r="219" spans="1:4" ht="12.75">
      <c r="A219" s="12"/>
      <c r="B219" s="139"/>
      <c r="C219" s="30" t="s">
        <v>1</v>
      </c>
      <c r="D219" s="131">
        <v>169.45512</v>
      </c>
    </row>
    <row r="220" spans="1:4" ht="12.75">
      <c r="A220" s="13" t="s">
        <v>321</v>
      </c>
      <c r="B220" s="139" t="s">
        <v>64</v>
      </c>
      <c r="C220" s="30" t="s">
        <v>2</v>
      </c>
      <c r="D220" s="133">
        <v>0.13</v>
      </c>
    </row>
    <row r="221" spans="1:4" ht="12.75">
      <c r="A221" s="13"/>
      <c r="B221" s="13"/>
      <c r="C221" s="30" t="s">
        <v>1</v>
      </c>
      <c r="D221" s="131">
        <v>37.8508</v>
      </c>
    </row>
    <row r="222" spans="1:4" ht="12.75">
      <c r="A222" s="13" t="s">
        <v>322</v>
      </c>
      <c r="B222" s="139" t="s">
        <v>64</v>
      </c>
      <c r="C222" s="30" t="s">
        <v>2</v>
      </c>
      <c r="D222" s="133">
        <v>0.045</v>
      </c>
    </row>
    <row r="223" spans="1:4" ht="12.75">
      <c r="A223" s="12"/>
      <c r="B223" s="13"/>
      <c r="C223" s="30" t="s">
        <v>1</v>
      </c>
      <c r="D223" s="131">
        <v>5.66</v>
      </c>
    </row>
    <row r="224" spans="1:4" ht="12.75">
      <c r="A224" s="149" t="s">
        <v>359</v>
      </c>
      <c r="B224" s="139" t="s">
        <v>64</v>
      </c>
      <c r="C224" s="30" t="s">
        <v>2</v>
      </c>
      <c r="D224" s="131">
        <f>0.365+0.04</f>
        <v>0.40499999999999997</v>
      </c>
    </row>
    <row r="225" spans="1:4" ht="12.75">
      <c r="A225" s="24"/>
      <c r="B225" s="13"/>
      <c r="C225" s="30" t="s">
        <v>1</v>
      </c>
      <c r="D225" s="131">
        <v>151.226</v>
      </c>
    </row>
    <row r="226" spans="1:4" ht="12.75">
      <c r="A226" s="12" t="s">
        <v>395</v>
      </c>
      <c r="B226" s="139" t="s">
        <v>64</v>
      </c>
      <c r="C226" s="30" t="s">
        <v>2</v>
      </c>
      <c r="D226" s="131">
        <v>0.46</v>
      </c>
    </row>
    <row r="227" spans="1:4" ht="12.75">
      <c r="A227" s="24"/>
      <c r="B227" s="13"/>
      <c r="C227" s="30" t="s">
        <v>1</v>
      </c>
      <c r="D227" s="132">
        <v>155.15</v>
      </c>
    </row>
    <row r="228" spans="1:4" ht="12.75">
      <c r="A228" s="24" t="s">
        <v>396</v>
      </c>
      <c r="B228" s="139" t="s">
        <v>64</v>
      </c>
      <c r="C228" s="30" t="s">
        <v>2</v>
      </c>
      <c r="D228" s="62">
        <v>0.137</v>
      </c>
    </row>
    <row r="229" spans="1:4" ht="12.75">
      <c r="A229" s="24"/>
      <c r="B229" s="13"/>
      <c r="C229" s="31" t="s">
        <v>1</v>
      </c>
      <c r="D229" s="62">
        <v>30.02</v>
      </c>
    </row>
    <row r="230" spans="1:4" ht="12.75">
      <c r="A230" s="93"/>
      <c r="B230" s="93"/>
      <c r="C230" s="159"/>
      <c r="D230" s="97">
        <f>D158+D160+D162+D164+D166+D168+D170+D190+D172+D174+D176+D178+D180+D182+D184+D186+D188+D192+D194+D196+D198+D200+D202+D204+D206+D208+D210+D212+D214+D216+D218+D220+D222+D224+D226+D228</f>
        <v>3.6856199999999997</v>
      </c>
    </row>
    <row r="231" spans="1:4" ht="12.75">
      <c r="A231" s="93"/>
      <c r="B231" s="93"/>
      <c r="C231" s="159"/>
      <c r="D231" s="97">
        <f>D159+D161+D163+D165+D167+D169+D171+D191+D173+D175+D177+D179+D181+D183+D185+D187+D189+D193+D195+D197+D199+D201+D203+D205+D207+D209+D211+D213+D215+D217+D219+D221+D223+D225+D227+D229</f>
        <v>1029.17176</v>
      </c>
    </row>
    <row r="232" spans="1:4" ht="12.75">
      <c r="A232" s="42" t="s">
        <v>323</v>
      </c>
      <c r="B232" s="138" t="s">
        <v>114</v>
      </c>
      <c r="C232" s="30" t="s">
        <v>2</v>
      </c>
      <c r="D232" s="131">
        <v>0.139</v>
      </c>
    </row>
    <row r="233" spans="1:4" ht="12.75">
      <c r="A233" s="12"/>
      <c r="B233" s="139"/>
      <c r="C233" s="30" t="s">
        <v>1</v>
      </c>
      <c r="D233" s="131">
        <v>40.471</v>
      </c>
    </row>
    <row r="234" spans="1:4" ht="12.75">
      <c r="A234" s="42" t="s">
        <v>324</v>
      </c>
      <c r="B234" s="138" t="s">
        <v>114</v>
      </c>
      <c r="C234" s="30" t="s">
        <v>2</v>
      </c>
      <c r="D234" s="131">
        <v>0.296</v>
      </c>
    </row>
    <row r="235" spans="1:4" ht="12.75">
      <c r="A235" s="13"/>
      <c r="B235" s="137"/>
      <c r="C235" s="30" t="s">
        <v>1</v>
      </c>
      <c r="D235" s="131">
        <v>86.1833</v>
      </c>
    </row>
    <row r="236" spans="1:4" ht="12.75">
      <c r="A236" s="42" t="s">
        <v>325</v>
      </c>
      <c r="B236" s="138" t="s">
        <v>114</v>
      </c>
      <c r="C236" s="30" t="s">
        <v>2</v>
      </c>
      <c r="D236" s="131">
        <v>0.226</v>
      </c>
    </row>
    <row r="237" spans="1:4" ht="12.75">
      <c r="A237" s="42"/>
      <c r="B237" s="12"/>
      <c r="C237" s="30" t="s">
        <v>1</v>
      </c>
      <c r="D237" s="131">
        <v>65.802</v>
      </c>
    </row>
    <row r="238" spans="1:4" ht="12.75">
      <c r="A238" s="42" t="s">
        <v>326</v>
      </c>
      <c r="B238" s="139" t="s">
        <v>64</v>
      </c>
      <c r="C238" s="30" t="s">
        <v>2</v>
      </c>
      <c r="D238" s="131">
        <v>0.052</v>
      </c>
    </row>
    <row r="239" spans="1:4" ht="12.75">
      <c r="A239" s="42"/>
      <c r="B239" s="137"/>
      <c r="C239" s="30" t="s">
        <v>1</v>
      </c>
      <c r="D239" s="131">
        <v>15.14032</v>
      </c>
    </row>
    <row r="240" spans="1:4" ht="12.75">
      <c r="A240" s="42" t="s">
        <v>341</v>
      </c>
      <c r="B240" s="139" t="s">
        <v>64</v>
      </c>
      <c r="C240" s="30" t="s">
        <v>2</v>
      </c>
      <c r="D240" s="131">
        <v>0.026</v>
      </c>
    </row>
    <row r="241" spans="1:4" ht="12.75">
      <c r="A241" s="12"/>
      <c r="B241" s="139"/>
      <c r="C241" s="30" t="s">
        <v>1</v>
      </c>
      <c r="D241" s="131">
        <v>3.4021</v>
      </c>
    </row>
    <row r="242" spans="1:4" ht="12.75">
      <c r="A242" s="12" t="s">
        <v>327</v>
      </c>
      <c r="B242" s="139" t="s">
        <v>64</v>
      </c>
      <c r="C242" s="30" t="s">
        <v>2</v>
      </c>
      <c r="D242" s="131">
        <v>0.035</v>
      </c>
    </row>
    <row r="243" spans="1:4" ht="12.75">
      <c r="A243" s="12"/>
      <c r="B243" s="139"/>
      <c r="C243" s="30" t="s">
        <v>1</v>
      </c>
      <c r="D243" s="131">
        <v>4.5796</v>
      </c>
    </row>
    <row r="244" spans="1:4" ht="12.75">
      <c r="A244" s="42" t="s">
        <v>328</v>
      </c>
      <c r="B244" s="139" t="s">
        <v>64</v>
      </c>
      <c r="C244" s="30" t="s">
        <v>2</v>
      </c>
      <c r="D244" s="131">
        <v>0.41</v>
      </c>
    </row>
    <row r="245" spans="1:4" ht="12.75">
      <c r="A245" s="42"/>
      <c r="B245" s="139"/>
      <c r="C245" s="30" t="s">
        <v>1</v>
      </c>
      <c r="D245" s="131">
        <v>182.88034</v>
      </c>
    </row>
    <row r="246" spans="1:4" ht="12.75">
      <c r="A246" s="42" t="s">
        <v>329</v>
      </c>
      <c r="B246" s="139" t="s">
        <v>64</v>
      </c>
      <c r="C246" s="30" t="s">
        <v>2</v>
      </c>
      <c r="D246" s="131">
        <v>0.56</v>
      </c>
    </row>
    <row r="247" spans="1:4" ht="12.75">
      <c r="A247" s="12" t="s">
        <v>330</v>
      </c>
      <c r="B247" s="13"/>
      <c r="C247" s="30" t="s">
        <v>1</v>
      </c>
      <c r="D247" s="131">
        <v>230.17943</v>
      </c>
    </row>
    <row r="248" spans="1:4" ht="25.5">
      <c r="A248" s="149" t="s">
        <v>332</v>
      </c>
      <c r="B248" s="139" t="s">
        <v>64</v>
      </c>
      <c r="C248" s="30" t="s">
        <v>2</v>
      </c>
      <c r="D248" s="131">
        <v>0.296</v>
      </c>
    </row>
    <row r="249" spans="1:4" ht="12.75">
      <c r="A249" s="149"/>
      <c r="B249" s="13"/>
      <c r="C249" s="30" t="s">
        <v>1</v>
      </c>
      <c r="D249" s="131">
        <v>63.851</v>
      </c>
    </row>
    <row r="250" spans="1:4" ht="25.5">
      <c r="A250" s="149" t="s">
        <v>333</v>
      </c>
      <c r="B250" s="139" t="s">
        <v>64</v>
      </c>
      <c r="C250" s="30" t="s">
        <v>2</v>
      </c>
      <c r="D250" s="131">
        <v>0.243</v>
      </c>
    </row>
    <row r="251" spans="1:4" ht="12.75">
      <c r="A251" s="13"/>
      <c r="B251" s="13"/>
      <c r="C251" s="30" t="s">
        <v>1</v>
      </c>
      <c r="D251" s="131">
        <v>52.25</v>
      </c>
    </row>
    <row r="252" spans="1:4" ht="12.75">
      <c r="A252" s="149" t="s">
        <v>334</v>
      </c>
      <c r="B252" s="139" t="s">
        <v>64</v>
      </c>
      <c r="C252" s="30" t="s">
        <v>2</v>
      </c>
      <c r="D252" s="131">
        <f>0.0285</f>
        <v>0.0285</v>
      </c>
    </row>
    <row r="253" spans="1:4" ht="12.75">
      <c r="A253" s="42"/>
      <c r="B253" s="13"/>
      <c r="C253" s="30" t="s">
        <v>1</v>
      </c>
      <c r="D253" s="131">
        <v>1.156</v>
      </c>
    </row>
    <row r="254" spans="1:4" ht="15">
      <c r="A254" s="150" t="s">
        <v>335</v>
      </c>
      <c r="B254" s="139" t="s">
        <v>64</v>
      </c>
      <c r="C254" s="31" t="s">
        <v>2</v>
      </c>
      <c r="D254" s="131">
        <v>0.005</v>
      </c>
    </row>
    <row r="255" spans="1:4" ht="15">
      <c r="A255" s="150"/>
      <c r="B255" s="19"/>
      <c r="C255" s="31" t="s">
        <v>1</v>
      </c>
      <c r="D255" s="131">
        <f>0.10336*D254*1000</f>
        <v>0.5168</v>
      </c>
    </row>
    <row r="256" spans="1:4" ht="15">
      <c r="A256" s="150" t="s">
        <v>336</v>
      </c>
      <c r="B256" s="138" t="s">
        <v>114</v>
      </c>
      <c r="C256" s="31" t="s">
        <v>2</v>
      </c>
      <c r="D256" s="131">
        <v>0.005</v>
      </c>
    </row>
    <row r="257" spans="1:4" ht="15">
      <c r="A257" s="150"/>
      <c r="B257" s="139"/>
      <c r="C257" s="31" t="s">
        <v>1</v>
      </c>
      <c r="D257" s="131">
        <f>0.10336*D256*1000</f>
        <v>0.5168</v>
      </c>
    </row>
    <row r="258" spans="1:4" ht="15">
      <c r="A258" s="150" t="s">
        <v>337</v>
      </c>
      <c r="B258" s="138" t="s">
        <v>114</v>
      </c>
      <c r="C258" s="31" t="s">
        <v>2</v>
      </c>
      <c r="D258" s="131">
        <v>0.005</v>
      </c>
    </row>
    <row r="259" spans="1:4" ht="15">
      <c r="A259" s="150"/>
      <c r="B259" s="137"/>
      <c r="C259" s="31" t="s">
        <v>1</v>
      </c>
      <c r="D259" s="131">
        <f>0.10336*D258*1000</f>
        <v>0.5168</v>
      </c>
    </row>
    <row r="260" spans="1:4" ht="15">
      <c r="A260" s="150" t="s">
        <v>338</v>
      </c>
      <c r="B260" s="138" t="s">
        <v>114</v>
      </c>
      <c r="C260" s="30" t="s">
        <v>2</v>
      </c>
      <c r="D260" s="131">
        <f>0.005*2</f>
        <v>0.01</v>
      </c>
    </row>
    <row r="261" spans="1:4" ht="12.75">
      <c r="A261" s="42"/>
      <c r="B261" s="12"/>
      <c r="C261" s="30" t="s">
        <v>1</v>
      </c>
      <c r="D261" s="131">
        <f>0.10336*D260*1000</f>
        <v>1.0336</v>
      </c>
    </row>
    <row r="262" spans="1:4" ht="30">
      <c r="A262" s="150" t="s">
        <v>339</v>
      </c>
      <c r="B262" s="139" t="s">
        <v>64</v>
      </c>
      <c r="C262" s="30" t="s">
        <v>2</v>
      </c>
      <c r="D262" s="131">
        <v>0.513</v>
      </c>
    </row>
    <row r="263" spans="1:4" ht="15">
      <c r="A263" s="150"/>
      <c r="B263" s="137"/>
      <c r="C263" s="30" t="s">
        <v>1</v>
      </c>
      <c r="D263" s="131">
        <v>221.356</v>
      </c>
    </row>
    <row r="264" spans="1:4" ht="15">
      <c r="A264" s="150" t="s">
        <v>340</v>
      </c>
      <c r="B264" s="139" t="s">
        <v>64</v>
      </c>
      <c r="C264" s="30" t="s">
        <v>2</v>
      </c>
      <c r="D264" s="131">
        <v>0.329</v>
      </c>
    </row>
    <row r="265" spans="1:4" ht="12.75">
      <c r="A265" s="12"/>
      <c r="B265" s="139"/>
      <c r="C265" s="30" t="s">
        <v>1</v>
      </c>
      <c r="D265" s="132">
        <v>142.137</v>
      </c>
    </row>
    <row r="266" spans="1:4" ht="15">
      <c r="A266" s="151" t="s">
        <v>342</v>
      </c>
      <c r="B266" s="139" t="s">
        <v>64</v>
      </c>
      <c r="C266" s="30" t="s">
        <v>2</v>
      </c>
      <c r="D266" s="136">
        <v>0.174</v>
      </c>
    </row>
    <row r="267" spans="1:4" ht="15">
      <c r="A267" s="151"/>
      <c r="B267" s="139"/>
      <c r="C267" s="30" t="s">
        <v>1</v>
      </c>
      <c r="D267" s="134">
        <v>37.292</v>
      </c>
    </row>
    <row r="268" spans="1:4" ht="15">
      <c r="A268" s="151" t="s">
        <v>343</v>
      </c>
      <c r="B268" s="139" t="s">
        <v>64</v>
      </c>
      <c r="C268" s="30" t="s">
        <v>2</v>
      </c>
      <c r="D268" s="136">
        <v>0.113</v>
      </c>
    </row>
    <row r="269" spans="1:4" ht="15">
      <c r="A269" s="151"/>
      <c r="B269" s="139"/>
      <c r="C269" s="30" t="s">
        <v>1</v>
      </c>
      <c r="D269" s="134">
        <v>24.218</v>
      </c>
    </row>
    <row r="270" spans="1:4" ht="45">
      <c r="A270" s="151" t="s">
        <v>344</v>
      </c>
      <c r="B270" s="139" t="s">
        <v>64</v>
      </c>
      <c r="C270" s="30" t="s">
        <v>2</v>
      </c>
      <c r="D270" s="134">
        <v>0.8</v>
      </c>
    </row>
    <row r="271" spans="1:4" ht="15">
      <c r="A271" s="151"/>
      <c r="B271" s="13"/>
      <c r="C271" s="30" t="s">
        <v>1</v>
      </c>
      <c r="D271" s="134">
        <v>176.66</v>
      </c>
    </row>
    <row r="272" spans="1:4" ht="15">
      <c r="A272" s="151" t="s">
        <v>345</v>
      </c>
      <c r="B272" s="139" t="s">
        <v>64</v>
      </c>
      <c r="C272" s="30" t="s">
        <v>2</v>
      </c>
      <c r="D272" s="136">
        <v>0.3</v>
      </c>
    </row>
    <row r="273" spans="1:4" ht="12.75">
      <c r="A273" s="12"/>
      <c r="B273" s="13"/>
      <c r="C273" s="30" t="s">
        <v>1</v>
      </c>
      <c r="D273" s="134">
        <v>64.506</v>
      </c>
    </row>
    <row r="274" spans="1:4" ht="12.75">
      <c r="A274" s="149" t="s">
        <v>348</v>
      </c>
      <c r="B274" s="139" t="s">
        <v>64</v>
      </c>
      <c r="C274" s="30" t="s">
        <v>2</v>
      </c>
      <c r="D274" s="131">
        <v>0.122</v>
      </c>
    </row>
    <row r="275" spans="1:4" ht="12.75">
      <c r="A275" s="149"/>
      <c r="B275" s="13"/>
      <c r="C275" s="30" t="s">
        <v>1</v>
      </c>
      <c r="D275" s="131">
        <f>D274*215.72</f>
        <v>26.31784</v>
      </c>
    </row>
    <row r="276" spans="1:4" ht="12.75">
      <c r="A276" s="149" t="s">
        <v>349</v>
      </c>
      <c r="B276" s="139" t="s">
        <v>64</v>
      </c>
      <c r="C276" s="30" t="s">
        <v>2</v>
      </c>
      <c r="D276" s="131">
        <v>0.183</v>
      </c>
    </row>
    <row r="277" spans="1:4" ht="12.75">
      <c r="A277" s="13"/>
      <c r="B277" s="13"/>
      <c r="C277" s="30" t="s">
        <v>1</v>
      </c>
      <c r="D277" s="131">
        <f>D276*215.72</f>
        <v>39.47676</v>
      </c>
    </row>
    <row r="278" spans="1:4" ht="15">
      <c r="A278" s="150" t="s">
        <v>350</v>
      </c>
      <c r="B278" s="139" t="s">
        <v>64</v>
      </c>
      <c r="C278" s="30" t="s">
        <v>2</v>
      </c>
      <c r="D278" s="131">
        <v>0.183</v>
      </c>
    </row>
    <row r="279" spans="1:4" ht="15">
      <c r="A279" s="150"/>
      <c r="B279" s="137"/>
      <c r="C279" s="30" t="s">
        <v>1</v>
      </c>
      <c r="D279" s="131">
        <f>D278*215.72</f>
        <v>39.47676</v>
      </c>
    </row>
    <row r="280" spans="1:4" ht="30">
      <c r="A280" s="150" t="s">
        <v>351</v>
      </c>
      <c r="B280" s="138" t="s">
        <v>114</v>
      </c>
      <c r="C280" s="30" t="s">
        <v>2</v>
      </c>
      <c r="D280" s="131">
        <v>0.339</v>
      </c>
    </row>
    <row r="281" spans="1:4" ht="15">
      <c r="A281" s="150"/>
      <c r="B281" s="139"/>
      <c r="C281" s="30" t="s">
        <v>1</v>
      </c>
      <c r="D281" s="131">
        <f>232.52*D280</f>
        <v>78.82428000000002</v>
      </c>
    </row>
    <row r="282" spans="1:4" ht="15">
      <c r="A282" s="150" t="s">
        <v>352</v>
      </c>
      <c r="B282" s="138" t="s">
        <v>114</v>
      </c>
      <c r="C282" s="30" t="s">
        <v>2</v>
      </c>
      <c r="D282" s="131">
        <v>0.087</v>
      </c>
    </row>
    <row r="283" spans="1:4" ht="15">
      <c r="A283" s="150"/>
      <c r="B283" s="137"/>
      <c r="C283" s="30" t="s">
        <v>1</v>
      </c>
      <c r="D283" s="131">
        <f>232.52*D282</f>
        <v>20.22924</v>
      </c>
    </row>
    <row r="284" spans="1:4" ht="15">
      <c r="A284" s="151" t="s">
        <v>353</v>
      </c>
      <c r="B284" s="138" t="s">
        <v>114</v>
      </c>
      <c r="C284" s="30" t="s">
        <v>2</v>
      </c>
      <c r="D284" s="136">
        <v>0.0025</v>
      </c>
    </row>
    <row r="285" spans="1:4" ht="15">
      <c r="A285" s="151"/>
      <c r="B285" s="12"/>
      <c r="C285" s="30" t="s">
        <v>1</v>
      </c>
      <c r="D285" s="134">
        <f>D284*230</f>
        <v>0.5750000000000001</v>
      </c>
    </row>
    <row r="286" spans="1:4" ht="15">
      <c r="A286" s="151" t="s">
        <v>354</v>
      </c>
      <c r="B286" s="139" t="s">
        <v>64</v>
      </c>
      <c r="C286" s="30" t="s">
        <v>2</v>
      </c>
      <c r="D286" s="136">
        <v>0.005</v>
      </c>
    </row>
    <row r="287" spans="1:4" ht="15">
      <c r="A287" s="151"/>
      <c r="B287" s="137"/>
      <c r="C287" s="30" t="s">
        <v>1</v>
      </c>
      <c r="D287" s="134">
        <f>D286*230</f>
        <v>1.1500000000000001</v>
      </c>
    </row>
    <row r="288" spans="1:4" ht="15">
      <c r="A288" s="151" t="s">
        <v>355</v>
      </c>
      <c r="B288" s="139" t="s">
        <v>64</v>
      </c>
      <c r="C288" s="30" t="s">
        <v>2</v>
      </c>
      <c r="D288" s="136">
        <v>0.0025</v>
      </c>
    </row>
    <row r="289" spans="1:4" ht="15">
      <c r="A289" s="151"/>
      <c r="B289" s="139"/>
      <c r="C289" s="30" t="s">
        <v>1</v>
      </c>
      <c r="D289" s="134">
        <f>D288*230</f>
        <v>0.5750000000000001</v>
      </c>
    </row>
    <row r="290" spans="1:4" ht="30">
      <c r="A290" s="151" t="s">
        <v>356</v>
      </c>
      <c r="B290" s="139" t="s">
        <v>64</v>
      </c>
      <c r="C290" s="30" t="s">
        <v>2</v>
      </c>
      <c r="D290" s="136">
        <v>0.061</v>
      </c>
    </row>
    <row r="291" spans="1:4" ht="12.75">
      <c r="A291" s="16"/>
      <c r="B291" s="139"/>
      <c r="C291" s="30" t="s">
        <v>1</v>
      </c>
      <c r="D291" s="134">
        <f>212.91*D290</f>
        <v>12.98751</v>
      </c>
    </row>
    <row r="292" spans="1:4" ht="15">
      <c r="A292" s="151" t="s">
        <v>357</v>
      </c>
      <c r="B292" s="139" t="s">
        <v>64</v>
      </c>
      <c r="C292" s="30" t="s">
        <v>2</v>
      </c>
      <c r="D292" s="136">
        <v>0.13</v>
      </c>
    </row>
    <row r="293" spans="1:4" ht="12.75">
      <c r="A293" s="16"/>
      <c r="B293" s="139"/>
      <c r="C293" s="30" t="s">
        <v>1</v>
      </c>
      <c r="D293" s="134">
        <f>212.91*D292</f>
        <v>27.6783</v>
      </c>
    </row>
    <row r="294" spans="1:4" ht="30">
      <c r="A294" s="151" t="s">
        <v>360</v>
      </c>
      <c r="B294" s="139" t="s">
        <v>64</v>
      </c>
      <c r="C294" s="30" t="s">
        <v>2</v>
      </c>
      <c r="D294" s="136">
        <v>0.2</v>
      </c>
    </row>
    <row r="295" spans="1:4" ht="15">
      <c r="A295" s="151"/>
      <c r="B295" s="13"/>
      <c r="C295" s="30" t="s">
        <v>1</v>
      </c>
      <c r="D295" s="134">
        <f>(94.968/0.444)*D294</f>
        <v>42.778378378378385</v>
      </c>
    </row>
    <row r="296" spans="1:4" ht="30">
      <c r="A296" s="151" t="s">
        <v>361</v>
      </c>
      <c r="B296" s="139" t="s">
        <v>64</v>
      </c>
      <c r="C296" s="30" t="s">
        <v>2</v>
      </c>
      <c r="D296" s="136">
        <v>0.183</v>
      </c>
    </row>
    <row r="297" spans="1:4" ht="15">
      <c r="A297" s="151"/>
      <c r="B297" s="13"/>
      <c r="C297" s="30" t="s">
        <v>1</v>
      </c>
      <c r="D297" s="134">
        <f>(94.968/0.444)*D296</f>
        <v>39.14221621621622</v>
      </c>
    </row>
    <row r="298" spans="1:4" ht="30">
      <c r="A298" s="151" t="s">
        <v>362</v>
      </c>
      <c r="B298" s="139" t="s">
        <v>64</v>
      </c>
      <c r="C298" s="30" t="s">
        <v>2</v>
      </c>
      <c r="D298" s="136">
        <v>0.252</v>
      </c>
    </row>
    <row r="299" spans="1:4" ht="15">
      <c r="A299" s="151"/>
      <c r="B299" s="13"/>
      <c r="C299" s="30" t="s">
        <v>1</v>
      </c>
      <c r="D299" s="134">
        <f>(94.968/0.444)*D298</f>
        <v>53.900756756756756</v>
      </c>
    </row>
    <row r="300" spans="1:4" ht="30">
      <c r="A300" s="151" t="s">
        <v>363</v>
      </c>
      <c r="B300" s="139" t="s">
        <v>64</v>
      </c>
      <c r="C300" s="30" t="s">
        <v>2</v>
      </c>
      <c r="D300" s="136">
        <v>0.174</v>
      </c>
    </row>
    <row r="301" spans="1:4" ht="12.75">
      <c r="A301" s="16"/>
      <c r="B301" s="13"/>
      <c r="C301" s="30" t="s">
        <v>1</v>
      </c>
      <c r="D301" s="134">
        <v>37.243</v>
      </c>
    </row>
    <row r="302" spans="1:4" ht="15">
      <c r="A302" s="151" t="s">
        <v>364</v>
      </c>
      <c r="B302" s="139" t="s">
        <v>64</v>
      </c>
      <c r="C302" s="30" t="s">
        <v>2</v>
      </c>
      <c r="D302" s="136">
        <v>0.061</v>
      </c>
    </row>
    <row r="303" spans="1:4" ht="15">
      <c r="A303" s="151"/>
      <c r="B303" s="13"/>
      <c r="C303" s="31" t="s">
        <v>1</v>
      </c>
      <c r="D303" s="134">
        <f>(94.968/0.444)*D302</f>
        <v>13.047405405405406</v>
      </c>
    </row>
    <row r="304" spans="1:4" ht="15">
      <c r="A304" s="151"/>
      <c r="B304" s="93"/>
      <c r="C304" s="159"/>
      <c r="D304" s="97">
        <f>D232+D234+D236+D238+D240+D242+D244+D264+D246+D248+D250+D252+D254+D256+D258+D260+D262+D266+D268+D270+D272+D274+D276+D278+D280+D282+D284+D286+D288+D290+D292+D294+D296+D298+D300+D302</f>
        <v>6.5504999999999995</v>
      </c>
    </row>
    <row r="305" spans="1:4" ht="12.75">
      <c r="A305" s="93"/>
      <c r="B305" s="93"/>
      <c r="C305" s="159"/>
      <c r="D305" s="97">
        <f>D233+D235+D237+D239+D241+D243+D245+D265+D247+D249+D251+D253+D255+D257+D259+D261+D263+D267+D269+D271+D273+D275+D277+D279+D281+D283+D285+D287+D289+D291+D293+D295+D297+D299+D301+D303</f>
        <v>1848.0505367567566</v>
      </c>
    </row>
    <row r="306" spans="1:4" ht="12.75">
      <c r="A306" s="12" t="s">
        <v>365</v>
      </c>
      <c r="B306" s="138" t="s">
        <v>114</v>
      </c>
      <c r="C306" s="30" t="s">
        <v>2</v>
      </c>
      <c r="D306" s="133">
        <v>0.035</v>
      </c>
    </row>
    <row r="307" spans="1:4" ht="12.75">
      <c r="A307" s="12"/>
      <c r="B307" s="139"/>
      <c r="C307" s="30" t="s">
        <v>1</v>
      </c>
      <c r="D307" s="132">
        <f>9.387-D301</f>
        <v>-27.856</v>
      </c>
    </row>
    <row r="308" spans="1:4" ht="12.75">
      <c r="A308" s="12" t="s">
        <v>366</v>
      </c>
      <c r="B308" s="138" t="s">
        <v>114</v>
      </c>
      <c r="C308" s="30" t="s">
        <v>2</v>
      </c>
      <c r="D308" s="133">
        <v>0.0006</v>
      </c>
    </row>
    <row r="309" spans="1:4" ht="12.75">
      <c r="A309" s="12"/>
      <c r="B309" s="137"/>
      <c r="C309" s="30" t="s">
        <v>1</v>
      </c>
      <c r="D309" s="132">
        <f>D308*34.393</f>
        <v>0.0206358</v>
      </c>
    </row>
    <row r="310" spans="1:4" ht="12.75">
      <c r="A310" s="12" t="s">
        <v>367</v>
      </c>
      <c r="B310" s="138" t="s">
        <v>114</v>
      </c>
      <c r="C310" s="30" t="s">
        <v>2</v>
      </c>
      <c r="D310" s="133">
        <v>0.0002</v>
      </c>
    </row>
    <row r="311" spans="1:4" ht="12.75">
      <c r="A311" s="12"/>
      <c r="B311" s="12"/>
      <c r="C311" s="30" t="s">
        <v>1</v>
      </c>
      <c r="D311" s="131">
        <f>D310*34.393</f>
        <v>0.0068786</v>
      </c>
    </row>
    <row r="312" spans="1:4" ht="12.75">
      <c r="A312" s="12" t="s">
        <v>275</v>
      </c>
      <c r="B312" s="139" t="s">
        <v>64</v>
      </c>
      <c r="C312" s="30" t="s">
        <v>2</v>
      </c>
      <c r="D312" s="133">
        <v>0.0002</v>
      </c>
    </row>
    <row r="313" spans="1:4" ht="12.75">
      <c r="A313" s="12"/>
      <c r="B313" s="137"/>
      <c r="C313" s="30" t="s">
        <v>1</v>
      </c>
      <c r="D313" s="131">
        <f>D312*34.393</f>
        <v>0.0068786</v>
      </c>
    </row>
    <row r="314" spans="1:4" ht="12.75">
      <c r="A314" s="12" t="s">
        <v>274</v>
      </c>
      <c r="B314" s="139" t="s">
        <v>64</v>
      </c>
      <c r="C314" s="30" t="s">
        <v>2</v>
      </c>
      <c r="D314" s="133">
        <v>0.0004</v>
      </c>
    </row>
    <row r="315" spans="1:4" ht="12.75">
      <c r="A315" s="12"/>
      <c r="B315" s="139"/>
      <c r="C315" s="30" t="s">
        <v>1</v>
      </c>
      <c r="D315" s="131">
        <f>D314*34.393</f>
        <v>0.0137572</v>
      </c>
    </row>
    <row r="316" spans="1:4" ht="12.75">
      <c r="A316" s="149" t="s">
        <v>373</v>
      </c>
      <c r="B316" s="139" t="s">
        <v>64</v>
      </c>
      <c r="C316" s="30" t="s">
        <v>2</v>
      </c>
      <c r="D316" s="131">
        <v>0.061</v>
      </c>
    </row>
    <row r="317" spans="1:4" ht="12.75">
      <c r="A317" s="149"/>
      <c r="B317" s="139"/>
      <c r="C317" s="30" t="s">
        <v>1</v>
      </c>
      <c r="D317" s="131">
        <v>12.96</v>
      </c>
    </row>
    <row r="318" spans="1:4" ht="12.75">
      <c r="A318" s="149" t="s">
        <v>374</v>
      </c>
      <c r="B318" s="139" t="s">
        <v>64</v>
      </c>
      <c r="C318" s="30" t="s">
        <v>2</v>
      </c>
      <c r="D318" s="131">
        <v>0.035</v>
      </c>
    </row>
    <row r="319" spans="1:4" ht="12.75">
      <c r="A319" s="13"/>
      <c r="B319" s="139"/>
      <c r="C319" s="30" t="s">
        <v>1</v>
      </c>
      <c r="D319" s="131">
        <v>7.436</v>
      </c>
    </row>
    <row r="320" spans="1:4" ht="25.5">
      <c r="A320" s="149" t="s">
        <v>375</v>
      </c>
      <c r="B320" s="139" t="s">
        <v>64</v>
      </c>
      <c r="C320" s="30" t="s">
        <v>2</v>
      </c>
      <c r="D320" s="130">
        <v>0.252</v>
      </c>
    </row>
    <row r="321" spans="1:4" ht="15">
      <c r="A321" s="150"/>
      <c r="B321" s="13"/>
      <c r="C321" s="30" t="s">
        <v>1</v>
      </c>
      <c r="D321" s="130">
        <v>96.3222</v>
      </c>
    </row>
    <row r="322" spans="1:4" ht="30">
      <c r="A322" s="150" t="s">
        <v>376</v>
      </c>
      <c r="B322" s="139" t="s">
        <v>64</v>
      </c>
      <c r="C322" s="30" t="s">
        <v>2</v>
      </c>
      <c r="D322" s="130">
        <v>0.2</v>
      </c>
    </row>
    <row r="323" spans="1:4" ht="15">
      <c r="A323" s="150"/>
      <c r="B323" s="13"/>
      <c r="C323" s="30" t="s">
        <v>1</v>
      </c>
      <c r="D323" s="130">
        <v>65.10368</v>
      </c>
    </row>
    <row r="324" spans="1:4" ht="12.75">
      <c r="A324" s="149" t="s">
        <v>377</v>
      </c>
      <c r="B324" s="139" t="s">
        <v>64</v>
      </c>
      <c r="C324" s="30" t="s">
        <v>2</v>
      </c>
      <c r="D324" s="130">
        <v>0.382</v>
      </c>
    </row>
    <row r="325" spans="1:4" ht="15">
      <c r="A325" s="150"/>
      <c r="B325" s="13"/>
      <c r="C325" s="30" t="s">
        <v>1</v>
      </c>
      <c r="D325" s="130">
        <v>177.20029</v>
      </c>
    </row>
    <row r="326" spans="1:4" ht="30">
      <c r="A326" s="150" t="s">
        <v>378</v>
      </c>
      <c r="B326" s="139" t="s">
        <v>64</v>
      </c>
      <c r="C326" s="30" t="s">
        <v>2</v>
      </c>
      <c r="D326" s="131">
        <v>0.235</v>
      </c>
    </row>
    <row r="327" spans="1:4" ht="15">
      <c r="A327" s="150"/>
      <c r="B327" s="13"/>
      <c r="C327" s="30" t="s">
        <v>1</v>
      </c>
      <c r="D327" s="131">
        <v>79.3888</v>
      </c>
    </row>
    <row r="328" spans="1:4" ht="30">
      <c r="A328" s="150" t="s">
        <v>379</v>
      </c>
      <c r="B328" s="139" t="s">
        <v>64</v>
      </c>
      <c r="C328" s="31" t="s">
        <v>2</v>
      </c>
      <c r="D328" s="131">
        <v>0.745</v>
      </c>
    </row>
    <row r="329" spans="1:4" ht="12.75">
      <c r="A329" s="42"/>
      <c r="B329" s="19"/>
      <c r="C329" s="31" t="s">
        <v>1</v>
      </c>
      <c r="D329" s="131">
        <v>267.93063</v>
      </c>
    </row>
    <row r="330" spans="1:4" ht="30">
      <c r="A330" s="150" t="s">
        <v>380</v>
      </c>
      <c r="B330" s="138" t="s">
        <v>114</v>
      </c>
      <c r="C330" s="31" t="s">
        <v>2</v>
      </c>
      <c r="D330" s="131">
        <v>0.183</v>
      </c>
    </row>
    <row r="331" spans="1:4" ht="15">
      <c r="A331" s="150"/>
      <c r="B331" s="139"/>
      <c r="C331" s="31" t="s">
        <v>1</v>
      </c>
      <c r="D331" s="131">
        <v>60.70563</v>
      </c>
    </row>
    <row r="332" spans="1:4" ht="15">
      <c r="A332" s="151" t="s">
        <v>381</v>
      </c>
      <c r="B332" s="138" t="s">
        <v>114</v>
      </c>
      <c r="C332" s="31" t="s">
        <v>2</v>
      </c>
      <c r="D332" s="134">
        <v>0.191</v>
      </c>
    </row>
    <row r="333" spans="1:4" ht="15">
      <c r="A333" s="151"/>
      <c r="B333" s="137"/>
      <c r="C333" s="31" t="s">
        <v>1</v>
      </c>
      <c r="D333" s="134">
        <v>85.79227</v>
      </c>
    </row>
    <row r="334" spans="1:4" ht="30">
      <c r="A334" s="151" t="s">
        <v>382</v>
      </c>
      <c r="B334" s="138" t="s">
        <v>114</v>
      </c>
      <c r="C334" s="30" t="s">
        <v>2</v>
      </c>
      <c r="D334" s="134">
        <v>0.67</v>
      </c>
    </row>
    <row r="335" spans="1:4" ht="15">
      <c r="A335" s="151"/>
      <c r="B335" s="12"/>
      <c r="C335" s="30" t="s">
        <v>1</v>
      </c>
      <c r="D335" s="134">
        <v>222.27927</v>
      </c>
    </row>
    <row r="336" spans="1:4" ht="15">
      <c r="A336" s="151" t="s">
        <v>383</v>
      </c>
      <c r="B336" s="139" t="s">
        <v>64</v>
      </c>
      <c r="C336" s="30" t="s">
        <v>2</v>
      </c>
      <c r="D336" s="134">
        <v>0.183</v>
      </c>
    </row>
    <row r="337" spans="1:4" ht="15">
      <c r="A337" s="151"/>
      <c r="B337" s="137"/>
      <c r="C337" s="30" t="s">
        <v>1</v>
      </c>
      <c r="D337" s="134">
        <v>61.63015</v>
      </c>
    </row>
    <row r="338" spans="1:4" ht="15">
      <c r="A338" s="151" t="s">
        <v>384</v>
      </c>
      <c r="B338" s="139" t="s">
        <v>64</v>
      </c>
      <c r="C338" s="30" t="s">
        <v>2</v>
      </c>
      <c r="D338" s="136">
        <v>0.2</v>
      </c>
    </row>
    <row r="339" spans="1:4" ht="12.75">
      <c r="A339" s="16"/>
      <c r="B339" s="139"/>
      <c r="C339" s="30" t="s">
        <v>1</v>
      </c>
      <c r="D339" s="134">
        <v>43.2778</v>
      </c>
    </row>
    <row r="340" spans="1:4" ht="15">
      <c r="A340" s="151" t="s">
        <v>385</v>
      </c>
      <c r="B340" s="139" t="s">
        <v>64</v>
      </c>
      <c r="C340" s="30" t="s">
        <v>2</v>
      </c>
      <c r="D340" s="134">
        <f>0.026+0.008</f>
        <v>0.034</v>
      </c>
    </row>
    <row r="341" spans="1:4" ht="15">
      <c r="A341" s="151"/>
      <c r="B341" s="139"/>
      <c r="C341" s="30" t="s">
        <v>1</v>
      </c>
      <c r="D341" s="134">
        <f>48.904-D339+0.776</f>
        <v>6.402200000000004</v>
      </c>
    </row>
    <row r="342" spans="1:4" ht="12.75">
      <c r="A342" s="36" t="s">
        <v>388</v>
      </c>
      <c r="B342" s="139" t="s">
        <v>64</v>
      </c>
      <c r="C342" s="30" t="s">
        <v>2</v>
      </c>
      <c r="D342" s="131">
        <v>0.267</v>
      </c>
    </row>
    <row r="343" spans="1:4" ht="15">
      <c r="A343" s="150"/>
      <c r="B343" s="139"/>
      <c r="C343" s="30" t="s">
        <v>1</v>
      </c>
      <c r="D343" s="131">
        <v>58.94</v>
      </c>
    </row>
    <row r="344" spans="1:4" ht="15">
      <c r="A344" s="151" t="s">
        <v>389</v>
      </c>
      <c r="B344" s="139" t="s">
        <v>64</v>
      </c>
      <c r="C344" s="30" t="s">
        <v>2</v>
      </c>
      <c r="D344" s="134">
        <v>0.183</v>
      </c>
    </row>
    <row r="345" spans="1:4" ht="15">
      <c r="A345" s="151"/>
      <c r="B345" s="13"/>
      <c r="C345" s="30" t="s">
        <v>1</v>
      </c>
      <c r="D345" s="134">
        <v>60.71</v>
      </c>
    </row>
    <row r="346" spans="1:4" ht="15">
      <c r="A346" s="151" t="s">
        <v>390</v>
      </c>
      <c r="B346" s="139" t="s">
        <v>64</v>
      </c>
      <c r="C346" s="30" t="s">
        <v>2</v>
      </c>
      <c r="D346" s="136">
        <v>0.017</v>
      </c>
    </row>
    <row r="347" spans="1:4" ht="15">
      <c r="A347" s="150"/>
      <c r="B347" s="13"/>
      <c r="C347" s="30" t="s">
        <v>1</v>
      </c>
      <c r="D347" s="134">
        <v>3.81</v>
      </c>
    </row>
    <row r="348" spans="1:4" ht="15">
      <c r="A348" s="151" t="s">
        <v>397</v>
      </c>
      <c r="B348" s="139" t="s">
        <v>64</v>
      </c>
      <c r="C348" s="30" t="s">
        <v>2</v>
      </c>
      <c r="D348" s="134">
        <v>0.012</v>
      </c>
    </row>
    <row r="349" spans="1:4" ht="12.75">
      <c r="A349" s="149"/>
      <c r="B349" s="13"/>
      <c r="C349" s="30" t="s">
        <v>1</v>
      </c>
      <c r="D349" s="134">
        <v>7.41</v>
      </c>
    </row>
    <row r="350" spans="1:4" ht="12.75">
      <c r="A350" s="12" t="s">
        <v>400</v>
      </c>
      <c r="B350" s="139" t="s">
        <v>64</v>
      </c>
      <c r="C350" s="30" t="s">
        <v>2</v>
      </c>
      <c r="D350" s="131">
        <f>0.822-0.147</f>
        <v>0.6749999999999999</v>
      </c>
    </row>
    <row r="351" spans="1:4" ht="12.75">
      <c r="A351" s="12"/>
      <c r="B351" s="13"/>
      <c r="C351" s="30" t="s">
        <v>1</v>
      </c>
      <c r="D351" s="132">
        <f>322*D350</f>
        <v>217.34999999999997</v>
      </c>
    </row>
    <row r="352" spans="1:4" ht="25.5">
      <c r="A352" s="16" t="s">
        <v>401</v>
      </c>
      <c r="B352" s="139" t="s">
        <v>64</v>
      </c>
      <c r="C352" s="30" t="s">
        <v>2</v>
      </c>
      <c r="D352" s="134">
        <f>0.351+0.55+0.087</f>
        <v>0.988</v>
      </c>
    </row>
    <row r="353" spans="1:4" ht="15">
      <c r="A353" s="150"/>
      <c r="B353" s="137"/>
      <c r="C353" s="30" t="s">
        <v>1</v>
      </c>
      <c r="D353" s="135">
        <f>194.46+124.27</f>
        <v>318.73</v>
      </c>
    </row>
    <row r="354" spans="1:4" ht="12.75">
      <c r="A354" s="12" t="s">
        <v>403</v>
      </c>
      <c r="B354" s="138" t="s">
        <v>114</v>
      </c>
      <c r="C354" s="30" t="s">
        <v>2</v>
      </c>
      <c r="D354" s="131">
        <v>0.002</v>
      </c>
    </row>
    <row r="355" spans="1:4" ht="12.75">
      <c r="A355" s="13"/>
      <c r="B355" s="139"/>
      <c r="C355" s="30" t="s">
        <v>1</v>
      </c>
      <c r="D355" s="131">
        <v>0.17</v>
      </c>
    </row>
    <row r="356" spans="1:4" ht="12.75">
      <c r="A356" s="12" t="s">
        <v>404</v>
      </c>
      <c r="B356" s="138" t="s">
        <v>114</v>
      </c>
      <c r="C356" s="30" t="s">
        <v>2</v>
      </c>
      <c r="D356" s="131">
        <v>0.002</v>
      </c>
    </row>
    <row r="357" spans="1:4" ht="12.75">
      <c r="A357" s="13"/>
      <c r="B357" s="137"/>
      <c r="C357" s="30" t="s">
        <v>1</v>
      </c>
      <c r="D357" s="131">
        <v>0.3</v>
      </c>
    </row>
    <row r="358" spans="1:4" ht="12.75">
      <c r="A358" s="12" t="s">
        <v>405</v>
      </c>
      <c r="B358" s="138" t="s">
        <v>114</v>
      </c>
      <c r="C358" s="30" t="s">
        <v>2</v>
      </c>
      <c r="D358" s="131">
        <v>0.003</v>
      </c>
    </row>
    <row r="359" spans="1:4" ht="12.75">
      <c r="A359" s="12"/>
      <c r="B359" s="12"/>
      <c r="C359" s="30" t="s">
        <v>1</v>
      </c>
      <c r="D359" s="131">
        <v>1.78</v>
      </c>
    </row>
    <row r="360" spans="1:4" ht="12.75">
      <c r="A360" s="12" t="s">
        <v>406</v>
      </c>
      <c r="B360" s="139" t="s">
        <v>64</v>
      </c>
      <c r="C360" s="30" t="s">
        <v>2</v>
      </c>
      <c r="D360" s="131">
        <v>0.004</v>
      </c>
    </row>
    <row r="361" spans="1:4" ht="12.75">
      <c r="A361" s="12"/>
      <c r="B361" s="137"/>
      <c r="C361" s="30" t="s">
        <v>1</v>
      </c>
      <c r="D361" s="131">
        <v>0.73</v>
      </c>
    </row>
    <row r="362" spans="1:4" ht="12.75">
      <c r="A362" s="12" t="s">
        <v>407</v>
      </c>
      <c r="B362" s="139" t="s">
        <v>64</v>
      </c>
      <c r="C362" s="30" t="s">
        <v>2</v>
      </c>
      <c r="D362" s="131">
        <v>0.004</v>
      </c>
    </row>
    <row r="363" spans="1:4" ht="15">
      <c r="A363" s="150"/>
      <c r="B363" s="139"/>
      <c r="C363" s="30" t="s">
        <v>1</v>
      </c>
      <c r="D363" s="134">
        <v>0.73</v>
      </c>
    </row>
    <row r="364" spans="1:4" ht="12.75">
      <c r="A364" s="36" t="s">
        <v>408</v>
      </c>
      <c r="B364" s="139" t="s">
        <v>64</v>
      </c>
      <c r="C364" s="30" t="s">
        <v>2</v>
      </c>
      <c r="D364" s="131">
        <v>0.004</v>
      </c>
    </row>
    <row r="365" spans="1:4" ht="15">
      <c r="A365" s="150"/>
      <c r="B365" s="139"/>
      <c r="C365" s="30" t="s">
        <v>1</v>
      </c>
      <c r="D365" s="131">
        <v>0.73</v>
      </c>
    </row>
    <row r="366" spans="1:4" ht="12.75">
      <c r="A366" s="12" t="s">
        <v>409</v>
      </c>
      <c r="B366" s="139" t="s">
        <v>64</v>
      </c>
      <c r="C366" s="30" t="s">
        <v>2</v>
      </c>
      <c r="D366" s="131">
        <v>0.001</v>
      </c>
    </row>
    <row r="367" spans="1:4" ht="12.75">
      <c r="A367" s="16"/>
      <c r="B367" s="139"/>
      <c r="C367" s="30" t="s">
        <v>1</v>
      </c>
      <c r="D367" s="131">
        <v>0.18</v>
      </c>
    </row>
    <row r="368" spans="1:4" ht="12.75">
      <c r="A368" s="16" t="s">
        <v>410</v>
      </c>
      <c r="B368" s="139" t="s">
        <v>64</v>
      </c>
      <c r="C368" s="30" t="s">
        <v>2</v>
      </c>
      <c r="D368" s="136">
        <v>0.017</v>
      </c>
    </row>
    <row r="369" spans="1:4" ht="12.75">
      <c r="A369" s="16"/>
      <c r="B369" s="13"/>
      <c r="C369" s="30" t="s">
        <v>1</v>
      </c>
      <c r="D369" s="134">
        <v>3.79</v>
      </c>
    </row>
    <row r="370" spans="1:4" ht="12.75">
      <c r="A370" s="16" t="s">
        <v>411</v>
      </c>
      <c r="B370" s="139" t="s">
        <v>64</v>
      </c>
      <c r="C370" s="30" t="s">
        <v>2</v>
      </c>
      <c r="D370" s="136">
        <v>0.008</v>
      </c>
    </row>
    <row r="371" spans="1:4" ht="12.75">
      <c r="A371" s="17"/>
      <c r="B371" s="13"/>
      <c r="C371" s="30" t="s">
        <v>1</v>
      </c>
      <c r="D371" s="134">
        <v>1.6</v>
      </c>
    </row>
    <row r="372" spans="1:4" ht="12.75">
      <c r="A372" s="16" t="s">
        <v>412</v>
      </c>
      <c r="B372" s="139" t="s">
        <v>64</v>
      </c>
      <c r="C372" s="30" t="s">
        <v>2</v>
      </c>
      <c r="D372" s="136">
        <v>0.001</v>
      </c>
    </row>
    <row r="373" spans="1:4" ht="15">
      <c r="A373" s="151"/>
      <c r="B373" s="13"/>
      <c r="C373" s="30" t="s">
        <v>1</v>
      </c>
      <c r="D373" s="134">
        <v>0.54</v>
      </c>
    </row>
    <row r="374" spans="1:4" ht="12.75">
      <c r="A374" s="16" t="s">
        <v>413</v>
      </c>
      <c r="B374" s="139" t="s">
        <v>64</v>
      </c>
      <c r="C374" s="30" t="s">
        <v>2</v>
      </c>
      <c r="D374" s="136">
        <v>0.017</v>
      </c>
    </row>
    <row r="375" spans="1:4" ht="12.75">
      <c r="A375" s="16"/>
      <c r="B375" s="13"/>
      <c r="C375" s="30" t="s">
        <v>1</v>
      </c>
      <c r="D375" s="134">
        <v>3.79</v>
      </c>
    </row>
    <row r="376" spans="1:4" ht="12.75">
      <c r="A376" s="16" t="s">
        <v>414</v>
      </c>
      <c r="B376" s="139" t="s">
        <v>64</v>
      </c>
      <c r="C376" s="30" t="s">
        <v>2</v>
      </c>
      <c r="D376" s="134">
        <v>0.13</v>
      </c>
    </row>
    <row r="377" spans="1:4" ht="15">
      <c r="A377" s="151"/>
      <c r="B377" s="13"/>
      <c r="C377" s="31" t="s">
        <v>1</v>
      </c>
      <c r="D377" s="134">
        <f>352.88*D376</f>
        <v>45.8744</v>
      </c>
    </row>
    <row r="378" spans="1:4" ht="15">
      <c r="A378" s="151"/>
      <c r="B378" s="93"/>
      <c r="C378" s="159"/>
      <c r="D378" s="97">
        <f>D306+D308+D310+D312+D314+D316+D318+D338+D320+D322+D324+D326+D328+D330+D332+D334+D336+D340+D342+D344+D346+D348+D350+D352+D354+D356+D358+D360+D362+D364+D366+D368+D370+D372+D374+D376</f>
        <v>5.742399999999998</v>
      </c>
    </row>
    <row r="379" spans="1:4" ht="12.75">
      <c r="A379" s="93"/>
      <c r="B379" s="93"/>
      <c r="C379" s="159"/>
      <c r="D379" s="96">
        <f>D307+D309+D311+D313+D315+D317+D319+D339+D321+D323+D325+D327+D329+D331+D333+D335+D337+D341+D343+D345+D347+D349+D351+D353+D355+D357+D359+D361+D363+D365+D367+D369+D371+D373+D375+D377</f>
        <v>1885.7854702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1" sqref="G11"/>
    </sheetView>
  </sheetViews>
  <sheetFormatPr defaultColWidth="9.00390625" defaultRowHeight="12.75"/>
  <cols>
    <col min="1" max="1" width="7.00390625" style="0" customWidth="1"/>
    <col min="2" max="2" width="32.75390625" style="179" customWidth="1"/>
    <col min="3" max="3" width="11.125" style="173" customWidth="1"/>
    <col min="4" max="4" width="32.25390625" style="196" customWidth="1"/>
    <col min="5" max="5" width="11.75390625" style="182" customWidth="1"/>
  </cols>
  <sheetData>
    <row r="1" spans="1:5" ht="37.5" customHeight="1">
      <c r="A1" s="193" t="s">
        <v>514</v>
      </c>
      <c r="B1" s="194"/>
      <c r="C1" s="194"/>
      <c r="D1" s="194"/>
      <c r="E1" s="194"/>
    </row>
    <row r="2" spans="1:5" s="173" customFormat="1" ht="26.25" customHeight="1">
      <c r="A2" s="176"/>
      <c r="B2" s="176" t="s">
        <v>507</v>
      </c>
      <c r="C2" s="176" t="s">
        <v>511</v>
      </c>
      <c r="D2" s="47" t="s">
        <v>508</v>
      </c>
      <c r="E2" s="181" t="s">
        <v>513</v>
      </c>
    </row>
    <row r="3" spans="1:5" s="173" customFormat="1" ht="15.75">
      <c r="A3" s="176"/>
      <c r="B3" s="176"/>
      <c r="C3" s="176"/>
      <c r="D3" s="47"/>
      <c r="E3" s="181" t="s">
        <v>512</v>
      </c>
    </row>
    <row r="4" spans="1:7" ht="15.75">
      <c r="A4" s="176">
        <v>1</v>
      </c>
      <c r="B4" s="177" t="s">
        <v>499</v>
      </c>
      <c r="C4" s="176" t="s">
        <v>509</v>
      </c>
      <c r="D4" s="195" t="s">
        <v>517</v>
      </c>
      <c r="E4" s="197">
        <f>(40+20+21+40+27.1+104)/2+54.6+15.6+54.6+30.4</f>
        <v>281.25</v>
      </c>
      <c r="G4" s="197">
        <f>(40+20+21+40+27.1+104+54.6+15.6+54.6+30.4)/2</f>
        <v>203.65</v>
      </c>
    </row>
    <row r="5" spans="1:5" ht="15.75">
      <c r="A5" s="176">
        <f>A4+1</f>
        <v>2</v>
      </c>
      <c r="B5" s="177" t="s">
        <v>500</v>
      </c>
      <c r="C5" s="176" t="s">
        <v>509</v>
      </c>
      <c r="D5" s="195" t="s">
        <v>516</v>
      </c>
      <c r="E5" s="197">
        <f>(40+20+21+40+27.1+104)/2</f>
        <v>126.05</v>
      </c>
    </row>
    <row r="6" spans="1:5" ht="15.75">
      <c r="A6" s="176">
        <f>A5+1</f>
        <v>3</v>
      </c>
      <c r="B6" s="177" t="s">
        <v>501</v>
      </c>
      <c r="C6" s="176" t="s">
        <v>388</v>
      </c>
      <c r="D6" s="195" t="s">
        <v>516</v>
      </c>
      <c r="E6" s="181">
        <f>12+80+20</f>
        <v>112</v>
      </c>
    </row>
    <row r="7" spans="1:5" ht="15.75">
      <c r="A7" s="176">
        <f>A6+1</f>
        <v>4</v>
      </c>
      <c r="B7" s="177" t="s">
        <v>502</v>
      </c>
      <c r="C7" s="176" t="s">
        <v>331</v>
      </c>
      <c r="D7" s="195" t="s">
        <v>515</v>
      </c>
      <c r="E7" s="181">
        <f>84+2.4+21+31.2+26+26+15.6+10.4+15.6+5.6+1.6</f>
        <v>239.39999999999998</v>
      </c>
    </row>
    <row r="8" spans="1:5" ht="15.75">
      <c r="A8" s="176">
        <f>A7+1</f>
        <v>5</v>
      </c>
      <c r="B8" s="177" t="s">
        <v>503</v>
      </c>
      <c r="C8" s="176"/>
      <c r="D8" s="195"/>
      <c r="E8" s="181"/>
    </row>
    <row r="9" spans="1:5" ht="17.25" customHeight="1">
      <c r="A9" s="176">
        <f>A8+1</f>
        <v>6</v>
      </c>
      <c r="B9" s="177" t="s">
        <v>504</v>
      </c>
      <c r="C9" s="176" t="s">
        <v>510</v>
      </c>
      <c r="D9" s="195" t="s">
        <v>515</v>
      </c>
      <c r="E9" s="181">
        <f>4.15+8.1+12.5+10.3+10.75+2.6+15.6+19</f>
        <v>83</v>
      </c>
    </row>
    <row r="10" spans="1:5" ht="15.75">
      <c r="A10" s="176"/>
      <c r="B10" s="177"/>
      <c r="C10" s="176"/>
      <c r="D10" s="195"/>
      <c r="E10" s="183">
        <f>SUM(E4:E9)</f>
        <v>841.6999999999999</v>
      </c>
    </row>
    <row r="11" spans="1:5" ht="15.75">
      <c r="A11" s="174"/>
      <c r="B11" s="178"/>
      <c r="C11" s="175"/>
      <c r="D11" s="184"/>
      <c r="E11" s="180"/>
    </row>
    <row r="12" spans="1:5" ht="15.75">
      <c r="A12" s="174"/>
      <c r="B12" s="178"/>
      <c r="C12" s="175"/>
      <c r="D12" s="184"/>
      <c r="E12" s="180"/>
    </row>
    <row r="13" spans="1:5" s="188" customFormat="1" ht="15.75">
      <c r="A13" s="161" t="s">
        <v>505</v>
      </c>
      <c r="B13" s="184"/>
      <c r="C13" s="185"/>
      <c r="D13" s="186" t="s">
        <v>506</v>
      </c>
      <c r="E13" s="187"/>
    </row>
  </sheetData>
  <sheetProtection/>
  <mergeCells count="1">
    <mergeCell ref="A1:E1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</dc:creator>
  <cp:keywords/>
  <dc:description/>
  <cp:lastModifiedBy>fedorova</cp:lastModifiedBy>
  <cp:lastPrinted>2012-11-11T13:00:28Z</cp:lastPrinted>
  <dcterms:created xsi:type="dcterms:W3CDTF">2006-11-27T14:14:56Z</dcterms:created>
  <dcterms:modified xsi:type="dcterms:W3CDTF">2013-05-17T12:28:18Z</dcterms:modified>
  <cp:category/>
  <cp:version/>
  <cp:contentType/>
  <cp:contentStatus/>
</cp:coreProperties>
</file>